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86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<sst xmlns="http://schemas.openxmlformats.org/spreadsheetml/2006/main" count="1063" uniqueCount="867">
  <si>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</si>
  <si>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</si>
  <si>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</si>
  <si>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</si>
  <si>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</si>
  <si>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</si>
  <si>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</si>
  <si>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</si>
  <si>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</si>
  <si>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</si>
  <si>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</si>
  <si>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</si>
  <si>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</si>
  <si>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</si>
  <si>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</si>
  <si>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</si>
  <si>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</si>
  <si>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</si>
  <si>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</si>
  <si>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</si>
  <si>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</si>
  <si>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</si>
  <si>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</si>
  <si>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</si>
  <si>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</si>
  <si>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</si>
  <si>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</si>
  <si>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</si>
  <si>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</si>
  <si>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</si>
  <si>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</si>
  <si>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</si>
  <si>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</si>
  <si>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</si>
  <si>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</si>
  <si>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</si>
  <si>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</si>
  <si>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</si>
  <si>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</si>
  <si>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</si>
  <si>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</si>
  <si>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</si>
  <si>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</si>
  <si>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</si>
  <si>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</si>
  <si>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</si>
  <si>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</si>
  <si>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</si>
  <si>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</si>
  <si>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</si>
  <si>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</si>
  <si>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</si>
  <si>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</si>
  <si>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</si>
  <si>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</si>
  <si>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</si>
  <si>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</si>
  <si>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</si>
  <si>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</si>
  <si>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</si>
  <si>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</si>
  <si>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</si>
  <si>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</si>
  <si>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</si>
  <si>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</si>
  <si>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</si>
  <si>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</si>
  <si>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</si>
  <si>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</si>
  <si>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</si>
  <si>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</si>
  <si>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</si>
  <si>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</si>
  <si>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</si>
  <si>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</si>
  <si>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</si>
  <si>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</si>
  <si>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</si>
  <si>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</si>
  <si>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</si>
  <si>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</si>
  <si>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</si>
  <si>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</si>
  <si>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</si>
  <si>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</si>
  <si>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</si>
  <si>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</si>
  <si>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</si>
  <si>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</si>
  <si>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</si>
  <si>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</si>
  <si>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</si>
  <si>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</si>
  <si>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</si>
  <si>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</si>
  <si>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</si>
  <si>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</si>
  <si>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</si>
  <si>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</si>
  <si>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</si>
  <si>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</si>
  <si>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</si>
  <si>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</si>
  <si>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</si>
  <si>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</si>
  <si>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</si>
  <si>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</si>
  <si>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</si>
  <si>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</si>
  <si>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</si>
  <si>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</si>
  <si>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</si>
  <si>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</si>
  <si>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</si>
  <si>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</si>
  <si>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</si>
  <si>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</si>
  <si>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</si>
  <si>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</si>
  <si>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</si>
  <si>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</si>
  <si>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</si>
  <si>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</si>
  <si>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</si>
  <si>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</si>
  <si>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</si>
  <si>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</si>
  <si>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</si>
  <si>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</si>
  <si>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</si>
  <si>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</si>
  <si>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</si>
  <si>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</si>
  <si>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</si>
  <si>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</si>
  <si>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</si>
  <si>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</si>
  <si>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</si>
  <si>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</si>
  <si>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</si>
  <si>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</si>
  <si>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</si>
  <si>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</si>
  <si>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</si>
  <si>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</si>
  <si>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</si>
  <si>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</si>
  <si>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</si>
  <si>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</si>
  <si>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</si>
  <si>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</si>
  <si>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</si>
  <si>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</si>
  <si>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</si>
  <si>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</si>
  <si>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</si>
  <si>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</si>
  <si>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</si>
  <si>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</si>
  <si>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</si>
  <si>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</si>
  <si>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</si>
  <si>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</si>
  <si>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</si>
  <si>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</si>
  <si>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</si>
  <si>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</si>
  <si>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</si>
  <si>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</si>
  <si>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</si>
  <si>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</si>
  <si>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</si>
  <si>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</si>
  <si>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</si>
  <si>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</si>
  <si>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</si>
  <si>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</si>
  <si>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</si>
  <si>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</si>
  <si>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</si>
  <si>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</si>
  <si>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</si>
  <si>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</si>
  <si>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</si>
  <si>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</si>
  <si>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</si>
  <si>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</si>
  <si>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</si>
  <si>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</si>
  <si>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</si>
  <si>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</si>
  <si>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</si>
  <si>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</si>
  <si>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</si>
  <si>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</si>
  <si>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</si>
  <si>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</si>
  <si>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</si>
  <si>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</si>
  <si>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</si>
  <si>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</si>
  <si>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</si>
  <si>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</si>
  <si>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</si>
  <si>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</si>
  <si>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</si>
  <si>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</si>
  <si>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</si>
  <si>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</si>
  <si>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</si>
  <si>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</si>
  <si>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</si>
  <si>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</si>
  <si>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</si>
  <si>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</si>
  <si>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</si>
  <si>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</si>
  <si>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</si>
  <si>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</si>
  <si>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</si>
  <si>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</si>
  <si>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</si>
  <si>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</si>
  <si>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</si>
  <si>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</si>
  <si>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</si>
  <si>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</si>
  <si>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</si>
  <si>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</si>
  <si>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</si>
  <si>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</si>
  <si>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</si>
  <si>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</si>
  <si>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</si>
  <si>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</si>
  <si>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</si>
  <si>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</si>
  <si>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</si>
  <si>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</si>
  <si>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</si>
  <si>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</si>
  <si>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</si>
  <si>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</si>
  <si>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</si>
  <si>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</si>
  <si>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</si>
  <si>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</si>
  <si>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</si>
  <si>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</si>
  <si>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</si>
  <si>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</si>
  <si>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</si>
  <si>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</si>
  <si>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</si>
  <si>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</si>
  <si>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</si>
  <si>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</si>
  <si>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</si>
  <si>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</si>
  <si>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</si>
  <si>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</si>
  <si>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</si>
  <si>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</si>
  <si>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</si>
  <si>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</si>
  <si>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</si>
  <si>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</si>
  <si>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</si>
  <si>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</si>
  <si>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</si>
  <si>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</si>
  <si>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</si>
  <si>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</si>
  <si>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</si>
  <si>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</si>
  <si>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</si>
  <si>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</si>
  <si>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</si>
  <si>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</si>
  <si>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</si>
  <si>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</si>
  <si>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</si>
  <si>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</si>
  <si>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</si>
  <si>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</si>
  <si>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</si>
  <si>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</si>
  <si>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</si>
  <si>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</si>
  <si>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</si>
  <si>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</si>
  <si>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</si>
  <si>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</si>
  <si>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</si>
  <si>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</si>
  <si>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</si>
  <si>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</si>
  <si>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</si>
  <si>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</si>
  <si>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</si>
  <si>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</si>
  <si>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</si>
  <si>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</si>
  <si>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</si>
  <si>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</si>
  <si>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</si>
  <si>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</si>
  <si>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</si>
  <si>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</si>
  <si>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</si>
  <si>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</si>
  <si>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</si>
  <si>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</si>
  <si>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</si>
  <si>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</si>
  <si>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</si>
  <si>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</si>
  <si>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</si>
  <si>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</si>
  <si>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</si>
  <si>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</si>
  <si>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</si>
  <si>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</si>
  <si>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</si>
  <si>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</si>
  <si>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</si>
  <si>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</si>
  <si>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</si>
  <si>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</si>
  <si>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</si>
  <si>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</si>
  <si>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</si>
  <si>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</si>
  <si>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</si>
  <si>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</si>
  <si>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</si>
  <si>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</si>
  <si>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</si>
  <si>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</si>
  <si>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</si>
  <si>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</si>
  <si>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</si>
  <si>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</si>
  <si>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</si>
  <si>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</si>
  <si>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</si>
  <si>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</si>
  <si>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</si>
  <si>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</si>
  <si>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</si>
  <si>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</si>
  <si>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</si>
  <si>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</si>
  <si>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</si>
  <si>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</si>
  <si>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</si>
  <si>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</si>
  <si>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</si>
  <si>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</si>
  <si>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</si>
  <si>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</si>
  <si>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</si>
  <si>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</si>
  <si>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</si>
  <si>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</si>
  <si>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</si>
  <si>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</si>
  <si>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</si>
  <si>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</si>
  <si>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</si>
  <si>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</si>
  <si>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</si>
  <si>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</si>
  <si>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</si>
  <si>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</si>
  <si>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</si>
  <si>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</si>
  <si>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</si>
  <si>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</si>
  <si>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</si>
  <si>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</si>
  <si>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</si>
  <si>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</si>
  <si>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</si>
  <si>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</si>
  <si>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</si>
  <si>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</si>
  <si>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</si>
  <si>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</si>
  <si>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</si>
  <si>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</si>
  <si>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</si>
  <si>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</si>
  <si>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</si>
  <si>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</si>
  <si>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</si>
  <si>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</si>
  <si>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</si>
  <si>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</si>
  <si>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</si>
  <si>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</si>
  <si>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</si>
  <si>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</si>
  <si>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</si>
  <si>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</si>
  <si>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</si>
  <si>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</si>
  <si>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</si>
  <si>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</si>
  <si>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</si>
  <si>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</si>
  <si>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</si>
  <si>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</si>
  <si>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</si>
  <si>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</si>
  <si>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</si>
  <si>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</si>
  <si>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</si>
  <si>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</si>
  <si>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</si>
  <si>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</si>
  <si>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</si>
  <si>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</si>
  <si>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</si>
  <si>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</si>
  <si>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</si>
  <si>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</si>
  <si>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</si>
  <si>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</si>
  <si>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</si>
  <si>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</si>
  <si>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</si>
  <si>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</si>
  <si>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</si>
  <si>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</si>
  <si>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</si>
  <si>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</si>
  <si>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</si>
  <si>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</si>
  <si>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</si>
  <si>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</si>
  <si>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</si>
  <si>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</si>
  <si>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</si>
  <si>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</si>
  <si>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</si>
  <si>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</si>
  <si>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</si>
  <si>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</si>
  <si>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</si>
  <si>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</si>
  <si>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</si>
  <si>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</si>
  <si>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</si>
  <si>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</si>
  <si>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</si>
  <si>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</si>
  <si>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</si>
  <si>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</si>
  <si>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</si>
  <si>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</si>
  <si>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</si>
  <si>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</si>
  <si>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</si>
  <si>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</si>
  <si>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</si>
  <si>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</si>
  <si>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</si>
  <si>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</si>
  <si>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</si>
  <si>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</si>
  <si>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</si>
  <si>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</si>
  <si>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</si>
  <si>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</si>
  <si>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</si>
  <si>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</si>
  <si>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</si>
  <si>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</si>
  <si>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</si>
  <si>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</si>
  <si>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</si>
  <si>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</si>
  <si>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</si>
  <si>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</si>
  <si>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</si>
  <si>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</si>
  <si>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</si>
  <si>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</si>
  <si>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</si>
  <si>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</si>
  <si>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</si>
  <si>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</si>
  <si>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</si>
  <si>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</si>
  <si>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</si>
  <si>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</si>
  <si>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</si>
  <si>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</si>
  <si>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</si>
  <si>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</si>
  <si>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</si>
  <si>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</si>
  <si>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</si>
  <si>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</si>
  <si>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</si>
  <si>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</si>
  <si>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</si>
  <si>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</si>
  <si>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</si>
  <si>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</si>
  <si>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</si>
  <si>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</si>
  <si>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</si>
  <si>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</si>
  <si>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</si>
  <si>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</si>
  <si>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</si>
  <si>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</si>
  <si>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</si>
  <si>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</si>
  <si>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</si>
  <si>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</si>
  <si>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</si>
  <si>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</si>
  <si>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</si>
  <si>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</si>
  <si>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</si>
  <si>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</si>
  <si>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</si>
  <si>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</si>
  <si>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</si>
  <si>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</si>
  <si>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</si>
  <si>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</si>
  <si>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</si>
  <si>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</si>
  <si>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</si>
  <si>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</si>
  <si>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</si>
  <si>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</si>
  <si>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</si>
  <si>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</si>
  <si>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</si>
  <si>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</si>
  <si>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</si>
  <si>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</si>
  <si>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</si>
  <si>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</si>
  <si>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</si>
  <si>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</si>
  <si>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</si>
  <si>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</si>
  <si>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</si>
  <si>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</si>
  <si>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</si>
  <si>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</si>
  <si>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</si>
  <si>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</si>
  <si>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</si>
  <si>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</si>
  <si>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</si>
  <si>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</si>
  <si>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</si>
  <si>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</si>
  <si>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</si>
  <si>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</si>
  <si>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</si>
  <si>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</si>
  <si>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</si>
  <si>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</si>
  <si>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</si>
  <si>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</si>
  <si>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</si>
  <si>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</si>
  <si>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</si>
  <si>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</si>
  <si>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</si>
  <si>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</si>
  <si>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</si>
  <si>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</si>
  <si>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</si>
  <si>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</si>
  <si>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</si>
  <si>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</si>
  <si>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</si>
  <si>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</si>
  <si>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</si>
  <si>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</si>
  <si>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</si>
  <si>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</si>
  <si>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</si>
  <si>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</si>
  <si>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</si>
  <si>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</si>
  <si>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</si>
  <si>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</si>
  <si>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</si>
  <si>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</si>
  <si>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</si>
  <si>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</si>
  <si>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</si>
  <si>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</si>
  <si>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</si>
  <si>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</si>
  <si>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</si>
  <si>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</si>
  <si>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</si>
  <si>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</si>
  <si>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</si>
  <si>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</si>
  <si>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</si>
  <si>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</si>
  <si>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</si>
  <si>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</si>
  <si>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</si>
  <si>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</si>
  <si>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</si>
  <si>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</si>
  <si>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</si>
  <si>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</si>
  <si>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</si>
  <si>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</si>
  <si>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</si>
  <si>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</si>
  <si>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</si>
  <si>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</si>
  <si>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</si>
  <si>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</si>
  <si>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</si>
  <si>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</si>
  <si>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</si>
  <si>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</si>
  <si>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</si>
  <si>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</si>
  <si>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</si>
  <si>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</si>
  <si>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</si>
  <si>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</si>
  <si>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</si>
  <si>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</si>
  <si>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</si>
  <si>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</si>
  <si>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</si>
  <si>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</si>
  <si>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</si>
  <si>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</si>
  <si>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</si>
  <si>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</si>
  <si>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</si>
  <si>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</si>
  <si>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</si>
  <si>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</si>
  <si>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</si>
  <si>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</si>
  <si>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</si>
  <si>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</si>
  <si>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</si>
  <si>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</si>
  <si>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</si>
  <si>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</si>
  <si>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</si>
  <si>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</si>
  <si>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</si>
  <si>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</si>
  <si>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</si>
  <si>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</si>
  <si>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</si>
  <si>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</si>
  <si>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</si>
  <si>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</si>
  <si>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</si>
  <si>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</si>
  <si>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</si>
  <si>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</si>
  <si>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</si>
  <si>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</si>
  <si>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</si>
  <si>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</si>
  <si>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</si>
  <si>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</si>
  <si>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</si>
  <si>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</si>
  <si>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</si>
  <si>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</si>
  <si>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</si>
  <si>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</si>
  <si>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</si>
  <si>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</si>
  <si>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</si>
  <si>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</si>
  <si>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</si>
  <si>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</si>
  <si>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</si>
  <si>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</si>
  <si>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</si>
  <si>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</si>
  <si>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</si>
  <si>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</si>
  <si>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</si>
  <si>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</si>
  <si>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</si>
  <si>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</si>
  <si>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</si>
  <si>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</si>
  <si>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</si>
  <si>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</si>
  <si>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</si>
  <si>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</si>
  <si>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</si>
  <si>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</si>
  <si>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</si>
  <si>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</si>
  <si>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</si>
  <si>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</si>
  <si>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</si>
  <si>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</si>
  <si>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</si>
  <si>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</si>
  <si>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</si>
  <si>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</si>
  <si>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</si>
  <si>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</si>
  <si>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</si>
  <si>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</si>
  <si>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</si>
  <si>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</si>
  <si>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</si>
  <si>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</si>
  <si>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</si>
  <si>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</si>
  <si>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</si>
  <si>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</si>
  <si>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</si>
  <si>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</si>
  <si>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</si>
  <si>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</si>
  <si>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</si>
  <si>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</si>
  <si>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</si>
  <si>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</si>
  <si>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</si>
  <si>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</si>
  <si>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</si>
  <si>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</si>
  <si>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</si>
  <si>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</si>
  <si>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</si>
  <si>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</si>
  <si>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</si>
  <si>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</si>
  <si>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</si>
  <si>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</si>
  <si>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</si>
  <si>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</si>
  <si>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</si>
  <si>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</si>
  <si>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</si>
  <si>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</si>
  <si>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</si>
  <si>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</si>
  <si>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</si>
  <si>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</si>
  <si>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</si>
  <si>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</si>
  <si>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</si>
  <si>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</si>
  <si>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</si>
  <si>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</si>
  <si>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</si>
  <si>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</si>
  <si>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</si>
  <si>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</si>
  <si>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</si>
  <si>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</si>
  <si>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</si>
  <si>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</si>
  <si>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</si>
  <si>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</si>
  <si>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</si>
  <si>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</si>
  <si>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</si>
  <si>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</si>
  <si>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</si>
  <si>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</si>
  <si>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</si>
  <si>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</si>
  <si>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</si>
  <si>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</si>
  <si>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</si>
  <si>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</si>
  <si>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</si>
  <si>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</si>
  <si>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</si>
  <si>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</si>
  <si>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</si>
  <si>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</si>
  <si>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</si>
  <si>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</si>
  <si>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</si>
  <si>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</si>
  <si>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</si>
  <si>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</si>
  <si>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</si>
  <si>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</si>
  <si>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</si>
  <si>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</si>
  <si>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</si>
  <si>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</si>
  <si>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</si>
  <si>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</si>
  <si>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</si>
  <si>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</si>
  <si>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</si>
  <si>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</si>
  <si>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</si>
  <si>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</si>
  <si>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</si>
  <si>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</si>
  <si>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</si>
  <si>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</si>
  <si>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</si>
  <si>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</si>
  <si>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</si>
  <si>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</si>
  <si>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</si>
  <si>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</si>
  <si>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</si>
  <si>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</si>
  <si>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</si>
  <si>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</si>
  <si>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</si>
  <si>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</si>
  <si>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</si>
  <si>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</si>
  <si>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</si>
  <si>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</si>
  <si>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</si>
  <si>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</si>
  <si>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</si>
  <si>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</si>
  <si>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</si>
  <si>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</si>
  <si>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</si>
  <si>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</si>
  <si>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</si>
  <si>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</si>
  <si>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</si>
  <si>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</si>
  <si>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</si>
  <si>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</si>
  <si>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</si>
  <si>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</si>
  <si>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</si>
  <si>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</si>
  <si>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</si>
  <si>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</si>
  <si>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Алианц Лизинг България АД</t>
  </si>
  <si>
    <t xml:space="preserve">Отчетен период: </t>
  </si>
  <si>
    <t>неконсолидиран</t>
  </si>
  <si>
    <t>Съставител: М.Шопова</t>
  </si>
  <si>
    <t>Ръководител: Ст.Кръстев</t>
  </si>
  <si>
    <t>М.Шопова</t>
  </si>
  <si>
    <t>Ст.Кръстев</t>
  </si>
  <si>
    <t xml:space="preserve"> Ръководител: Ст.Кръстев</t>
  </si>
  <si>
    <t xml:space="preserve">                                    Съставител: М.Шопова</t>
  </si>
  <si>
    <t xml:space="preserve">Дата  на съставяне: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</si>
</sst>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7">
      <selection activeCell="G33" sqref="G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857</v>
      </c>
      <c r="F3" s="217" t="s">
        <v>2</v>
      </c>
      <c r="G3" s="172"/>
      <c r="H3" s="461">
        <v>175200915</v>
      </c>
    </row>
    <row r="4" spans="1:8" ht="15">
      <c r="A4" s="575" t="s">
        <v>3</v>
      </c>
      <c r="B4" s="580"/>
      <c r="C4" s="580"/>
      <c r="D4" s="580"/>
      <c r="E4" s="462" t="s">
        <v>859</v>
      </c>
      <c r="F4" s="577" t="s">
        <v>4</v>
      </c>
      <c r="G4" s="578"/>
      <c r="H4" s="461" t="s">
        <v>159</v>
      </c>
    </row>
    <row r="5" spans="1:8" ht="15">
      <c r="A5" s="575" t="s">
        <v>858</v>
      </c>
      <c r="B5" s="576"/>
      <c r="C5" s="576"/>
      <c r="D5" s="576"/>
      <c r="E5" s="504">
        <v>41364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6204</v>
      </c>
      <c r="H11" s="152">
        <v>6204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6204</v>
      </c>
      <c r="H12" s="153">
        <v>6204</v>
      </c>
    </row>
    <row r="13" spans="1:8" ht="15">
      <c r="A13" s="235" t="s">
        <v>28</v>
      </c>
      <c r="B13" s="241" t="s">
        <v>29</v>
      </c>
      <c r="C13" s="151">
        <v>27</v>
      </c>
      <c r="D13" s="151">
        <v>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11702</v>
      </c>
      <c r="D15" s="151">
        <v>13383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6204</v>
      </c>
      <c r="H17" s="154">
        <f>H11+H14+H15+H16</f>
        <v>6204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11735</v>
      </c>
      <c r="D19" s="155">
        <f>SUM(D11:D18)</f>
        <v>13396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2352</v>
      </c>
      <c r="H21" s="156">
        <f>SUM(H22:H24)</f>
        <v>2352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2352</v>
      </c>
      <c r="H22" s="152">
        <v>2352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210</v>
      </c>
      <c r="D24" s="151">
        <v>210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2352</v>
      </c>
      <c r="H25" s="154">
        <f>H19+H20+H21</f>
        <v>2352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75</v>
      </c>
      <c r="D26" s="151">
        <v>50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285</v>
      </c>
      <c r="D27" s="155">
        <f>SUM(D23:D26)</f>
        <v>260</v>
      </c>
      <c r="E27" s="253" t="s">
        <v>83</v>
      </c>
      <c r="F27" s="242" t="s">
        <v>84</v>
      </c>
      <c r="G27" s="154">
        <f>SUM(G28:G30)</f>
        <v>4793</v>
      </c>
      <c r="H27" s="154">
        <f>SUM(H28:H30)</f>
        <v>4793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4793</v>
      </c>
      <c r="H28" s="152">
        <v>4793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623</v>
      </c>
      <c r="H31" s="152">
        <v>1418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5416</v>
      </c>
      <c r="H33" s="154">
        <f>H27+H31+H32</f>
        <v>6211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13972</v>
      </c>
      <c r="H36" s="154">
        <f>H25+H17+H33</f>
        <v>14767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40600</v>
      </c>
      <c r="H44" s="152">
        <v>52077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19327</v>
      </c>
      <c r="H47" s="152">
        <v>19327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56797</v>
      </c>
      <c r="D49" s="151">
        <v>63807</v>
      </c>
      <c r="E49" s="251" t="s">
        <v>51</v>
      </c>
      <c r="F49" s="245" t="s">
        <v>153</v>
      </c>
      <c r="G49" s="154">
        <f>SUM(G43:G48)</f>
        <v>59927</v>
      </c>
      <c r="H49" s="154">
        <f>SUM(H43:H48)</f>
        <v>71404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56797</v>
      </c>
      <c r="D51" s="155">
        <f>SUM(D47:D50)</f>
        <v>63807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506</v>
      </c>
      <c r="D53" s="151">
        <v>556</v>
      </c>
      <c r="E53" s="237" t="s">
        <v>164</v>
      </c>
      <c r="F53" s="245" t="s">
        <v>165</v>
      </c>
      <c r="G53" s="152">
        <v>198</v>
      </c>
      <c r="H53" s="152">
        <v>198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69323</v>
      </c>
      <c r="D55" s="155">
        <f>D19+D20+D21+D27+D32+D45+D51+D53+D54</f>
        <v>78019</v>
      </c>
      <c r="E55" s="237" t="s">
        <v>172</v>
      </c>
      <c r="F55" s="261" t="s">
        <v>173</v>
      </c>
      <c r="G55" s="154">
        <f>G49+G51+G52+G53+G54</f>
        <v>60125</v>
      </c>
      <c r="H55" s="154">
        <f>H49+H51+H52+H53+H54</f>
        <v>71602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2680</v>
      </c>
      <c r="D60" s="151">
        <v>4075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4034</v>
      </c>
      <c r="H61" s="154">
        <f>SUM(H62:H68)</f>
        <v>390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3243</v>
      </c>
      <c r="H62" s="152">
        <v>49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2680</v>
      </c>
      <c r="D64" s="155">
        <f>SUM(D58:D63)</f>
        <v>4075</v>
      </c>
      <c r="E64" s="237" t="s">
        <v>200</v>
      </c>
      <c r="F64" s="242" t="s">
        <v>201</v>
      </c>
      <c r="G64" s="152">
        <v>489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</v>
      </c>
      <c r="H66" s="152">
        <v>242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18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1674</v>
      </c>
      <c r="D68" s="151">
        <v>629</v>
      </c>
      <c r="E68" s="237" t="s">
        <v>213</v>
      </c>
      <c r="F68" s="242" t="s">
        <v>214</v>
      </c>
      <c r="G68" s="152">
        <v>226</v>
      </c>
      <c r="H68" s="152">
        <v>69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1986</v>
      </c>
      <c r="H69" s="152">
        <v>2212</v>
      </c>
    </row>
    <row r="70" spans="1:8" ht="15">
      <c r="A70" s="235" t="s">
        <v>218</v>
      </c>
      <c r="B70" s="241" t="s">
        <v>219</v>
      </c>
      <c r="C70" s="151">
        <v>4614</v>
      </c>
      <c r="D70" s="151">
        <v>3668</v>
      </c>
      <c r="E70" s="237" t="s">
        <v>220</v>
      </c>
      <c r="F70" s="242" t="s">
        <v>221</v>
      </c>
      <c r="G70" s="152">
        <v>297</v>
      </c>
      <c r="H70" s="152">
        <v>297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6317</v>
      </c>
      <c r="H71" s="161">
        <f>H59+H60+H61+H69+H70</f>
        <v>2899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56</v>
      </c>
      <c r="D74" s="151">
        <v>447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6344</v>
      </c>
      <c r="D75" s="155">
        <f>SUM(D67:D74)</f>
        <v>4744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6317</v>
      </c>
      <c r="H79" s="162">
        <f>H71+H74+H75+H76</f>
        <v>2899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2065</v>
      </c>
      <c r="D88" s="151">
        <v>2425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2067</v>
      </c>
      <c r="D91" s="155">
        <f>SUM(D87:D90)</f>
        <v>2430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11091</v>
      </c>
      <c r="D93" s="155">
        <f>D64+D75+D84+D91+D92</f>
        <v>11249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80414</v>
      </c>
      <c r="D94" s="164">
        <f>D93+D55</f>
        <v>89268</v>
      </c>
      <c r="E94" s="449" t="s">
        <v>270</v>
      </c>
      <c r="F94" s="289" t="s">
        <v>271</v>
      </c>
      <c r="G94" s="165">
        <f>G36+G39+G55+G79</f>
        <v>80414</v>
      </c>
      <c r="H94" s="165">
        <f>H36+H39+H55+H79</f>
        <v>89268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860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 customHeight="1">
      <c r="A100" s="173"/>
      <c r="B100" s="173"/>
      <c r="C100" s="579" t="s">
        <v>861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">
      <selection activeCell="C26" sqref="C2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2" t="str">
        <f>'справка №1-БАЛАНС'!E3</f>
        <v>Алианц Лизинг България АД</v>
      </c>
      <c r="C2" s="582"/>
      <c r="D2" s="582"/>
      <c r="E2" s="582"/>
      <c r="F2" s="584" t="s">
        <v>2</v>
      </c>
      <c r="G2" s="584"/>
      <c r="H2" s="525">
        <f>'справка №1-БАЛАНС'!H3</f>
        <v>175200915</v>
      </c>
    </row>
    <row r="3" spans="1:8" ht="15">
      <c r="A3" s="467" t="s">
        <v>274</v>
      </c>
      <c r="B3" s="582" t="str">
        <f>'справка №1-БАЛАНС'!E4</f>
        <v>неконсолидиран</v>
      </c>
      <c r="C3" s="582"/>
      <c r="D3" s="582"/>
      <c r="E3" s="582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3">
        <f>'справка №1-БАЛАНС'!E5</f>
        <v>41364</v>
      </c>
      <c r="C4" s="583"/>
      <c r="D4" s="583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14</v>
      </c>
      <c r="D9" s="46">
        <v>16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802</v>
      </c>
      <c r="D10" s="46">
        <v>1097</v>
      </c>
      <c r="E10" s="298" t="s">
        <v>288</v>
      </c>
      <c r="F10" s="548" t="s">
        <v>289</v>
      </c>
      <c r="G10" s="549">
        <v>263</v>
      </c>
      <c r="H10" s="549">
        <v>336</v>
      </c>
    </row>
    <row r="11" spans="1:8" ht="12">
      <c r="A11" s="298" t="s">
        <v>290</v>
      </c>
      <c r="B11" s="299" t="s">
        <v>291</v>
      </c>
      <c r="C11" s="46">
        <v>1852</v>
      </c>
      <c r="D11" s="46">
        <v>1940</v>
      </c>
      <c r="E11" s="300" t="s">
        <v>292</v>
      </c>
      <c r="F11" s="548" t="s">
        <v>293</v>
      </c>
      <c r="G11" s="549">
        <v>2565</v>
      </c>
      <c r="H11" s="549">
        <v>2448</v>
      </c>
    </row>
    <row r="12" spans="1:8" ht="12">
      <c r="A12" s="298" t="s">
        <v>294</v>
      </c>
      <c r="B12" s="299" t="s">
        <v>295</v>
      </c>
      <c r="C12" s="46">
        <v>530</v>
      </c>
      <c r="D12" s="46">
        <v>451</v>
      </c>
      <c r="E12" s="300" t="s">
        <v>78</v>
      </c>
      <c r="F12" s="548" t="s">
        <v>296</v>
      </c>
      <c r="G12" s="549">
        <v>1114</v>
      </c>
      <c r="H12" s="549">
        <v>1459</v>
      </c>
    </row>
    <row r="13" spans="1:18" ht="12">
      <c r="A13" s="298" t="s">
        <v>297</v>
      </c>
      <c r="B13" s="299" t="s">
        <v>298</v>
      </c>
      <c r="C13" s="46">
        <v>73</v>
      </c>
      <c r="D13" s="46">
        <v>82</v>
      </c>
      <c r="E13" s="301" t="s">
        <v>51</v>
      </c>
      <c r="F13" s="550" t="s">
        <v>299</v>
      </c>
      <c r="G13" s="547">
        <f>SUM(G9:G12)</f>
        <v>3942</v>
      </c>
      <c r="H13" s="547">
        <f>SUM(H9:H12)</f>
        <v>4243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851</v>
      </c>
      <c r="D16" s="47">
        <v>680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>
        <v>285</v>
      </c>
      <c r="D18" s="48">
        <v>148</v>
      </c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4122</v>
      </c>
      <c r="D19" s="49">
        <f>SUM(D9:D15)+D16</f>
        <v>4266</v>
      </c>
      <c r="E19" s="304" t="s">
        <v>316</v>
      </c>
      <c r="F19" s="551" t="s">
        <v>317</v>
      </c>
      <c r="G19" s="549">
        <v>2283</v>
      </c>
      <c r="H19" s="549">
        <v>2875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1586</v>
      </c>
      <c r="D22" s="46">
        <v>2094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>
        <v>270</v>
      </c>
      <c r="H23" s="549">
        <v>452</v>
      </c>
    </row>
    <row r="24" spans="1:18" ht="12">
      <c r="A24" s="298" t="s">
        <v>331</v>
      </c>
      <c r="B24" s="305" t="s">
        <v>332</v>
      </c>
      <c r="C24" s="46">
        <v>5</v>
      </c>
      <c r="D24" s="46">
        <v>8</v>
      </c>
      <c r="E24" s="301" t="s">
        <v>103</v>
      </c>
      <c r="F24" s="553" t="s">
        <v>333</v>
      </c>
      <c r="G24" s="547">
        <f>SUM(G19:G23)</f>
        <v>2553</v>
      </c>
      <c r="H24" s="547">
        <f>SUM(H19:H23)</f>
        <v>3327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90</v>
      </c>
      <c r="D25" s="46">
        <v>229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1681</v>
      </c>
      <c r="D26" s="49">
        <f>SUM(D22:D25)</f>
        <v>2331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5803</v>
      </c>
      <c r="D28" s="50">
        <f>D26+D19</f>
        <v>6597</v>
      </c>
      <c r="E28" s="127" t="s">
        <v>338</v>
      </c>
      <c r="F28" s="553" t="s">
        <v>339</v>
      </c>
      <c r="G28" s="547">
        <f>G13+G15+G24</f>
        <v>6495</v>
      </c>
      <c r="H28" s="547">
        <f>H13+H15+H24</f>
        <v>7570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692</v>
      </c>
      <c r="D30" s="50">
        <f>IF((H28-D28)&gt;0,H28-D28,0)</f>
        <v>973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848</v>
      </c>
      <c r="B31" s="306" t="s">
        <v>344</v>
      </c>
      <c r="C31" s="46"/>
      <c r="D31" s="46"/>
      <c r="E31" s="296" t="s">
        <v>851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5803</v>
      </c>
      <c r="D33" s="49">
        <f>D28-D31+D32</f>
        <v>6597</v>
      </c>
      <c r="E33" s="127" t="s">
        <v>352</v>
      </c>
      <c r="F33" s="553" t="s">
        <v>353</v>
      </c>
      <c r="G33" s="53">
        <f>G32-G31+G28</f>
        <v>6495</v>
      </c>
      <c r="H33" s="53">
        <f>H32-H31+H28</f>
        <v>7570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692</v>
      </c>
      <c r="D34" s="50">
        <f>IF((H33-D33)&gt;0,H33-D33,0)</f>
        <v>973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69.2</v>
      </c>
      <c r="D35" s="49">
        <f>D36+D37+D38</f>
        <v>97.30000000000001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>
        <f>C34*10%</f>
        <v>69.2</v>
      </c>
      <c r="D36" s="46">
        <f>D34*10%</f>
        <v>97.30000000000001</v>
      </c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622.8</v>
      </c>
      <c r="D39" s="460">
        <f>+IF((H33-D33-D35)&gt;0,H33-D33-D35,0)</f>
        <v>875.7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622.8</v>
      </c>
      <c r="D41" s="52">
        <f>IF(H39=0,IF(D39-D40&gt;0,D39-D40+H40,0),IF(H39-H40&lt;0,H40-H39+D39,0))</f>
        <v>875.7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6495</v>
      </c>
      <c r="D42" s="53">
        <f>D33+D35+D39</f>
        <v>7570</v>
      </c>
      <c r="E42" s="128" t="s">
        <v>379</v>
      </c>
      <c r="F42" s="129" t="s">
        <v>380</v>
      </c>
      <c r="G42" s="53">
        <f>G39+G33</f>
        <v>6495</v>
      </c>
      <c r="H42" s="53">
        <f>H39+H33</f>
        <v>7570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5" t="s">
        <v>855</v>
      </c>
      <c r="B45" s="585"/>
      <c r="C45" s="585"/>
      <c r="D45" s="585"/>
      <c r="E45" s="58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/>
      <c r="C48" s="427" t="s">
        <v>816</v>
      </c>
      <c r="D48" s="581" t="s">
        <v>862</v>
      </c>
      <c r="E48" s="581"/>
      <c r="F48" s="581"/>
      <c r="G48" s="581"/>
      <c r="H48" s="581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778</v>
      </c>
      <c r="D50" s="581" t="s">
        <v>863</v>
      </c>
      <c r="E50" s="581"/>
      <c r="F50" s="581"/>
      <c r="G50" s="581"/>
      <c r="H50" s="58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Алианц Лизинг България АД</v>
      </c>
      <c r="C4" s="540" t="s">
        <v>2</v>
      </c>
      <c r="D4" s="540">
        <f>'справка №1-БАЛАНС'!H3</f>
        <v>175200915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>
        <f>'справка №1-БАЛАНС'!E5</f>
        <v>41364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36779</v>
      </c>
      <c r="D10" s="54">
        <v>39647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-18333</v>
      </c>
      <c r="D11" s="54">
        <v>-17488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-530</v>
      </c>
      <c r="D13" s="54">
        <v>-601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-949</v>
      </c>
      <c r="D14" s="54">
        <v>-2413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-56</v>
      </c>
      <c r="D15" s="54">
        <v>-215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-2283</v>
      </c>
      <c r="D17" s="54">
        <v>-2346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-3225</v>
      </c>
      <c r="D19" s="54">
        <v>-4054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11405</v>
      </c>
      <c r="D20" s="55">
        <f>SUM(D10:D19)</f>
        <v>12525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3135</v>
      </c>
      <c r="D36" s="54">
        <v>7139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-14903</v>
      </c>
      <c r="D37" s="54">
        <v>-19826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-11768</v>
      </c>
      <c r="D42" s="55">
        <f>SUM(D34:D41)</f>
        <v>-12687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-363</v>
      </c>
      <c r="D43" s="55">
        <f>D42+D32+D20</f>
        <v>-162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2430</v>
      </c>
      <c r="D44" s="132">
        <v>1226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2067</v>
      </c>
      <c r="D45" s="55">
        <f>D44+D43</f>
        <v>1064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2067</v>
      </c>
      <c r="D46" s="56">
        <v>1064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272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7" t="s">
        <v>458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89" t="str">
        <f>'справка №1-БАЛАНС'!E3</f>
        <v>Алианц Лизинг България АД</v>
      </c>
      <c r="C3" s="589"/>
      <c r="D3" s="589"/>
      <c r="E3" s="589"/>
      <c r="F3" s="589"/>
      <c r="G3" s="589"/>
      <c r="H3" s="589"/>
      <c r="I3" s="589"/>
      <c r="J3" s="476"/>
      <c r="K3" s="591" t="s">
        <v>2</v>
      </c>
      <c r="L3" s="591"/>
      <c r="M3" s="478">
        <f>'справка №1-БАЛАНС'!H3</f>
        <v>175200915</v>
      </c>
      <c r="N3" s="2"/>
    </row>
    <row r="4" spans="1:15" s="531" customFormat="1" ht="13.5" customHeight="1">
      <c r="A4" s="467" t="s">
        <v>459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3">
        <f>'справка №1-БАЛАНС'!E5</f>
        <v>41364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6204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2352</v>
      </c>
      <c r="G11" s="58">
        <f>'справка №1-БАЛАНС'!H23</f>
        <v>0</v>
      </c>
      <c r="H11" s="60"/>
      <c r="I11" s="58">
        <f>'справка №1-БАЛАНС'!H28+'справка №1-БАЛАНС'!H31</f>
        <v>6211</v>
      </c>
      <c r="J11" s="58">
        <f>'справка №1-БАЛАНС'!H29+'справка №1-БАЛАНС'!H32</f>
        <v>0</v>
      </c>
      <c r="K11" s="60"/>
      <c r="L11" s="344">
        <f>SUM(C11:K11)</f>
        <v>14767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6204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2352</v>
      </c>
      <c r="G15" s="61">
        <f t="shared" si="2"/>
        <v>0</v>
      </c>
      <c r="H15" s="61">
        <f t="shared" si="2"/>
        <v>0</v>
      </c>
      <c r="I15" s="61">
        <f t="shared" si="2"/>
        <v>6211</v>
      </c>
      <c r="J15" s="61">
        <f t="shared" si="2"/>
        <v>0</v>
      </c>
      <c r="K15" s="61">
        <f t="shared" si="2"/>
        <v>0</v>
      </c>
      <c r="L15" s="344">
        <f t="shared" si="1"/>
        <v>14767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623</v>
      </c>
      <c r="J16" s="345">
        <f>+'справка №1-БАЛАНС'!G32</f>
        <v>0</v>
      </c>
      <c r="K16" s="60"/>
      <c r="L16" s="344">
        <f t="shared" si="1"/>
        <v>623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-1418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-1418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>
        <v>-1418</v>
      </c>
      <c r="I18" s="60"/>
      <c r="J18" s="60"/>
      <c r="K18" s="60"/>
      <c r="L18" s="344">
        <f t="shared" si="1"/>
        <v>-1418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6204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2352</v>
      </c>
      <c r="G29" s="59">
        <f t="shared" si="6"/>
        <v>0</v>
      </c>
      <c r="H29" s="59">
        <f t="shared" si="6"/>
        <v>-1418</v>
      </c>
      <c r="I29" s="59">
        <f t="shared" si="6"/>
        <v>6834</v>
      </c>
      <c r="J29" s="59">
        <f t="shared" si="6"/>
        <v>0</v>
      </c>
      <c r="K29" s="59">
        <f t="shared" si="6"/>
        <v>0</v>
      </c>
      <c r="L29" s="344">
        <f t="shared" si="1"/>
        <v>13972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6204</v>
      </c>
      <c r="D32" s="59">
        <f t="shared" si="7"/>
        <v>0</v>
      </c>
      <c r="E32" s="59">
        <f t="shared" si="7"/>
        <v>0</v>
      </c>
      <c r="F32" s="59">
        <f t="shared" si="7"/>
        <v>2352</v>
      </c>
      <c r="G32" s="59">
        <f t="shared" si="7"/>
        <v>0</v>
      </c>
      <c r="H32" s="59">
        <f t="shared" si="7"/>
        <v>-1418</v>
      </c>
      <c r="I32" s="59">
        <f t="shared" si="7"/>
        <v>6834</v>
      </c>
      <c r="J32" s="59">
        <f t="shared" si="7"/>
        <v>0</v>
      </c>
      <c r="K32" s="59">
        <f t="shared" si="7"/>
        <v>0</v>
      </c>
      <c r="L32" s="344">
        <f t="shared" si="1"/>
        <v>13972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856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866</v>
      </c>
      <c r="B38" s="19"/>
      <c r="C38" s="15"/>
      <c r="D38" s="588" t="s">
        <v>860</v>
      </c>
      <c r="E38" s="588"/>
      <c r="F38" s="588"/>
      <c r="G38" s="588"/>
      <c r="H38" s="588"/>
      <c r="I38" s="588"/>
      <c r="J38" s="15" t="s">
        <v>864</v>
      </c>
      <c r="K38" s="15"/>
      <c r="L38" s="588"/>
      <c r="M38" s="58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R24" sqref="R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382</v>
      </c>
      <c r="B2" s="595"/>
      <c r="C2" s="596" t="str">
        <f>'справка №1-БАЛАНС'!E3</f>
        <v>Алианц Лизинг България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175200915</v>
      </c>
      <c r="P2" s="483"/>
      <c r="Q2" s="483"/>
      <c r="R2" s="525"/>
    </row>
    <row r="3" spans="1:18" ht="15">
      <c r="A3" s="594" t="s">
        <v>5</v>
      </c>
      <c r="B3" s="595"/>
      <c r="C3" s="597">
        <f>'справка №1-БАЛАНС'!E5</f>
        <v>41364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9" t="s">
        <v>462</v>
      </c>
      <c r="B5" s="600"/>
      <c r="C5" s="603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1"/>
      <c r="B6" s="602"/>
      <c r="C6" s="604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138</v>
      </c>
      <c r="E11" s="189">
        <v>24</v>
      </c>
      <c r="F11" s="189">
        <v>0</v>
      </c>
      <c r="G11" s="74">
        <f t="shared" si="2"/>
        <v>162</v>
      </c>
      <c r="H11" s="65"/>
      <c r="I11" s="65"/>
      <c r="J11" s="74">
        <f t="shared" si="3"/>
        <v>162</v>
      </c>
      <c r="K11" s="65">
        <v>133</v>
      </c>
      <c r="L11" s="65">
        <v>2</v>
      </c>
      <c r="M11" s="65"/>
      <c r="N11" s="74">
        <f t="shared" si="4"/>
        <v>135</v>
      </c>
      <c r="O11" s="65"/>
      <c r="P11" s="65"/>
      <c r="Q11" s="74">
        <f t="shared" si="0"/>
        <v>135</v>
      </c>
      <c r="R11" s="74">
        <f t="shared" si="1"/>
        <v>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20444</v>
      </c>
      <c r="E13" s="189">
        <v>2861</v>
      </c>
      <c r="F13" s="189">
        <v>3747</v>
      </c>
      <c r="G13" s="74">
        <f t="shared" si="2"/>
        <v>19558</v>
      </c>
      <c r="H13" s="65"/>
      <c r="I13" s="65"/>
      <c r="J13" s="74">
        <f t="shared" si="3"/>
        <v>19558</v>
      </c>
      <c r="K13" s="65">
        <v>7061</v>
      </c>
      <c r="L13" s="65">
        <v>1844</v>
      </c>
      <c r="M13" s="65">
        <v>1049</v>
      </c>
      <c r="N13" s="74">
        <f t="shared" si="4"/>
        <v>7856</v>
      </c>
      <c r="O13" s="65"/>
      <c r="P13" s="65"/>
      <c r="Q13" s="74">
        <f t="shared" si="0"/>
        <v>7856</v>
      </c>
      <c r="R13" s="74">
        <f t="shared" si="1"/>
        <v>11702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559</v>
      </c>
      <c r="B16" s="193" t="s">
        <v>560</v>
      </c>
      <c r="C16" s="367" t="s">
        <v>561</v>
      </c>
      <c r="D16" s="189">
        <v>51</v>
      </c>
      <c r="E16" s="189">
        <v>0</v>
      </c>
      <c r="F16" s="189">
        <v>0</v>
      </c>
      <c r="G16" s="74">
        <f t="shared" si="2"/>
        <v>51</v>
      </c>
      <c r="H16" s="65"/>
      <c r="I16" s="65"/>
      <c r="J16" s="74">
        <f t="shared" si="3"/>
        <v>51</v>
      </c>
      <c r="K16" s="65">
        <v>43</v>
      </c>
      <c r="L16" s="65">
        <v>2</v>
      </c>
      <c r="M16" s="65"/>
      <c r="N16" s="74">
        <f t="shared" si="4"/>
        <v>45</v>
      </c>
      <c r="O16" s="65"/>
      <c r="P16" s="65"/>
      <c r="Q16" s="74">
        <f aca="true" t="shared" si="5" ref="Q16:Q25">N16+O16-P16</f>
        <v>45</v>
      </c>
      <c r="R16" s="74">
        <f aca="true" t="shared" si="6" ref="R16:R25">J16-Q16</f>
        <v>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20633</v>
      </c>
      <c r="E17" s="194">
        <f>SUM(E9:E16)</f>
        <v>2885</v>
      </c>
      <c r="F17" s="194">
        <f>SUM(F9:F16)</f>
        <v>3747</v>
      </c>
      <c r="G17" s="74">
        <f t="shared" si="2"/>
        <v>19771</v>
      </c>
      <c r="H17" s="75">
        <f>SUM(H9:H16)</f>
        <v>0</v>
      </c>
      <c r="I17" s="75">
        <f>SUM(I9:I16)</f>
        <v>0</v>
      </c>
      <c r="J17" s="74">
        <f t="shared" si="3"/>
        <v>19771</v>
      </c>
      <c r="K17" s="75">
        <f>SUM(K9:K16)</f>
        <v>7237</v>
      </c>
      <c r="L17" s="75">
        <f>SUM(L9:L16)</f>
        <v>1848</v>
      </c>
      <c r="M17" s="75">
        <f>SUM(M9:M16)</f>
        <v>1049</v>
      </c>
      <c r="N17" s="74">
        <f t="shared" si="4"/>
        <v>8036</v>
      </c>
      <c r="O17" s="75">
        <f>SUM(O9:O16)</f>
        <v>0</v>
      </c>
      <c r="P17" s="75">
        <f>SUM(P9:P16)</f>
        <v>0</v>
      </c>
      <c r="Q17" s="74">
        <f t="shared" si="5"/>
        <v>8036</v>
      </c>
      <c r="R17" s="74">
        <f t="shared" si="6"/>
        <v>11735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210</v>
      </c>
      <c r="E22" s="189"/>
      <c r="F22" s="189"/>
      <c r="G22" s="74">
        <f t="shared" si="2"/>
        <v>210</v>
      </c>
      <c r="H22" s="65"/>
      <c r="I22" s="65"/>
      <c r="J22" s="74">
        <f t="shared" si="3"/>
        <v>210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210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58</v>
      </c>
      <c r="E24" s="189">
        <v>28</v>
      </c>
      <c r="F24" s="189"/>
      <c r="G24" s="74">
        <f t="shared" si="2"/>
        <v>86</v>
      </c>
      <c r="H24" s="65"/>
      <c r="I24" s="65"/>
      <c r="J24" s="74">
        <f t="shared" si="3"/>
        <v>86</v>
      </c>
      <c r="K24" s="65">
        <v>8</v>
      </c>
      <c r="L24" s="65">
        <v>3</v>
      </c>
      <c r="M24" s="65">
        <v>0</v>
      </c>
      <c r="N24" s="74">
        <f t="shared" si="4"/>
        <v>11</v>
      </c>
      <c r="O24" s="65"/>
      <c r="P24" s="65"/>
      <c r="Q24" s="74">
        <f t="shared" si="5"/>
        <v>11</v>
      </c>
      <c r="R24" s="74">
        <f t="shared" si="6"/>
        <v>75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268</v>
      </c>
      <c r="E25" s="190">
        <f aca="true" t="shared" si="7" ref="E25:P25">SUM(E21:E24)</f>
        <v>28</v>
      </c>
      <c r="F25" s="190">
        <f t="shared" si="7"/>
        <v>0</v>
      </c>
      <c r="G25" s="67">
        <f t="shared" si="2"/>
        <v>296</v>
      </c>
      <c r="H25" s="66">
        <f t="shared" si="7"/>
        <v>0</v>
      </c>
      <c r="I25" s="66">
        <f t="shared" si="7"/>
        <v>0</v>
      </c>
      <c r="J25" s="67">
        <f t="shared" si="3"/>
        <v>296</v>
      </c>
      <c r="K25" s="66">
        <f t="shared" si="7"/>
        <v>8</v>
      </c>
      <c r="L25" s="66">
        <f t="shared" si="7"/>
        <v>3</v>
      </c>
      <c r="M25" s="66">
        <f t="shared" si="7"/>
        <v>0</v>
      </c>
      <c r="N25" s="67">
        <f t="shared" si="4"/>
        <v>11</v>
      </c>
      <c r="O25" s="66">
        <f t="shared" si="7"/>
        <v>0</v>
      </c>
      <c r="P25" s="66">
        <f t="shared" si="7"/>
        <v>0</v>
      </c>
      <c r="Q25" s="67">
        <f t="shared" si="5"/>
        <v>11</v>
      </c>
      <c r="R25" s="67">
        <f t="shared" si="6"/>
        <v>285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600</v>
      </c>
      <c r="B39" s="370" t="s">
        <v>601</v>
      </c>
      <c r="C39" s="369" t="s">
        <v>602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20901</v>
      </c>
      <c r="E40" s="438">
        <f>E17+E18+E19+E25+E38+E39</f>
        <v>2913</v>
      </c>
      <c r="F40" s="438">
        <f aca="true" t="shared" si="13" ref="F40:R40">F17+F18+F19+F25+F38+F39</f>
        <v>3747</v>
      </c>
      <c r="G40" s="438">
        <f t="shared" si="13"/>
        <v>20067</v>
      </c>
      <c r="H40" s="438">
        <f t="shared" si="13"/>
        <v>0</v>
      </c>
      <c r="I40" s="438">
        <f t="shared" si="13"/>
        <v>0</v>
      </c>
      <c r="J40" s="438">
        <f t="shared" si="13"/>
        <v>20067</v>
      </c>
      <c r="K40" s="438">
        <f t="shared" si="13"/>
        <v>7245</v>
      </c>
      <c r="L40" s="438">
        <f t="shared" si="13"/>
        <v>1851</v>
      </c>
      <c r="M40" s="438">
        <f t="shared" si="13"/>
        <v>1049</v>
      </c>
      <c r="N40" s="438">
        <f t="shared" si="13"/>
        <v>8047</v>
      </c>
      <c r="O40" s="438">
        <f t="shared" si="13"/>
        <v>0</v>
      </c>
      <c r="P40" s="438">
        <f t="shared" si="13"/>
        <v>0</v>
      </c>
      <c r="Q40" s="438">
        <f t="shared" si="13"/>
        <v>8047</v>
      </c>
      <c r="R40" s="438">
        <f t="shared" si="13"/>
        <v>12020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865</v>
      </c>
      <c r="I44" s="356"/>
      <c r="J44" s="356"/>
      <c r="K44" s="605"/>
      <c r="L44" s="605"/>
      <c r="M44" s="605"/>
      <c r="N44" s="605"/>
      <c r="O44" s="606" t="s">
        <v>861</v>
      </c>
      <c r="P44" s="607"/>
      <c r="Q44" s="607"/>
      <c r="R44" s="60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17" sqref="C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606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382</v>
      </c>
      <c r="B3" s="616" t="str">
        <f>'справка №1-БАЛАНС'!E3</f>
        <v>Алианц Лизинг България АД</v>
      </c>
      <c r="C3" s="617"/>
      <c r="D3" s="525" t="s">
        <v>2</v>
      </c>
      <c r="E3" s="107">
        <f>'справка №1-БАЛАНС'!H3</f>
        <v>175200915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>
        <f>'справка №1-БАЛАНС'!E5</f>
        <v>41364</v>
      </c>
      <c r="C4" s="615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56797</v>
      </c>
      <c r="D16" s="119">
        <f>+D17+D18</f>
        <v>26069</v>
      </c>
      <c r="E16" s="120">
        <f t="shared" si="0"/>
        <v>30728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>
        <v>56797</v>
      </c>
      <c r="D17" s="108">
        <v>26069</v>
      </c>
      <c r="E17" s="120">
        <f t="shared" si="0"/>
        <v>30728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56797</v>
      </c>
      <c r="D19" s="104">
        <f>D11+D15+D16</f>
        <v>26069</v>
      </c>
      <c r="E19" s="118">
        <f>E11+E15+E16</f>
        <v>30728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1674</v>
      </c>
      <c r="D28" s="108">
        <v>1674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4614</v>
      </c>
      <c r="D30" s="108">
        <v>4614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56</v>
      </c>
      <c r="D38" s="105">
        <f>SUM(D39:D42)</f>
        <v>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56</v>
      </c>
      <c r="D42" s="108">
        <v>56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6344</v>
      </c>
      <c r="D43" s="104">
        <f>D24+D28+D29+D31+D30+D32+D33+D38</f>
        <v>6344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63141</v>
      </c>
      <c r="D44" s="103">
        <f>D43+D21+D19+D9</f>
        <v>32413</v>
      </c>
      <c r="E44" s="118">
        <f>E43+E21+E19+E9</f>
        <v>30728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40600</v>
      </c>
      <c r="D56" s="103">
        <f>D57+D59</f>
        <v>37012</v>
      </c>
      <c r="E56" s="119">
        <f t="shared" si="1"/>
        <v>3588</v>
      </c>
      <c r="F56" s="103">
        <f>F57+F59</f>
        <v>46690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40600</v>
      </c>
      <c r="D57" s="108">
        <v>37012</v>
      </c>
      <c r="E57" s="119">
        <f t="shared" si="1"/>
        <v>3588</v>
      </c>
      <c r="F57" s="108">
        <v>46690</v>
      </c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>
        <v>0</v>
      </c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19327</v>
      </c>
      <c r="D63" s="108">
        <v>19327</v>
      </c>
      <c r="E63" s="119">
        <f t="shared" si="1"/>
        <v>0</v>
      </c>
      <c r="F63" s="110">
        <v>21260</v>
      </c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59927</v>
      </c>
      <c r="D66" s="103">
        <f>D52+D56+D61+D62+D63+D64</f>
        <v>56339</v>
      </c>
      <c r="E66" s="119">
        <f t="shared" si="1"/>
        <v>3588</v>
      </c>
      <c r="F66" s="103">
        <f>F52+F56+F61+F62+F63+F64</f>
        <v>67950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198</v>
      </c>
      <c r="D68" s="108">
        <v>198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3243</v>
      </c>
      <c r="D71" s="105">
        <f>SUM(D72:D74)</f>
        <v>0</v>
      </c>
      <c r="E71" s="105">
        <f>SUM(E72:E74)</f>
        <v>3243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>
        <v>3243</v>
      </c>
      <c r="D73" s="108"/>
      <c r="E73" s="119">
        <f t="shared" si="1"/>
        <v>3243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791</v>
      </c>
      <c r="D85" s="104">
        <f>SUM(D86:D90)+D94</f>
        <v>791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489</v>
      </c>
      <c r="D87" s="108">
        <v>489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58</v>
      </c>
      <c r="D89" s="108">
        <v>58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226</v>
      </c>
      <c r="D90" s="103">
        <f>SUM(D91:D93)</f>
        <v>226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226</v>
      </c>
      <c r="D93" s="108">
        <v>226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1986</v>
      </c>
      <c r="D95" s="108">
        <v>1986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6020</v>
      </c>
      <c r="D96" s="104">
        <f>D85+D80+D75+D71+D95</f>
        <v>2777</v>
      </c>
      <c r="E96" s="104">
        <f>E85+E80+E75+E71+E95</f>
        <v>3243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66145</v>
      </c>
      <c r="D97" s="104">
        <f>D96+D68+D66</f>
        <v>59314</v>
      </c>
      <c r="E97" s="104">
        <f>E96+E68+E66</f>
        <v>6831</v>
      </c>
      <c r="F97" s="104">
        <f>F96+F68+F66</f>
        <v>67950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7839</v>
      </c>
      <c r="D104" s="108">
        <v>285</v>
      </c>
      <c r="E104" s="108">
        <v>0</v>
      </c>
      <c r="F104" s="125">
        <f>C104+D104-E104</f>
        <v>8124</v>
      </c>
    </row>
    <row r="105" spans="1:16" ht="12">
      <c r="A105" s="412" t="s">
        <v>774</v>
      </c>
      <c r="B105" s="395" t="s">
        <v>775</v>
      </c>
      <c r="C105" s="103">
        <f>SUM(C102:C104)</f>
        <v>7839</v>
      </c>
      <c r="D105" s="103">
        <f>SUM(D102:D104)</f>
        <v>285</v>
      </c>
      <c r="E105" s="103">
        <f>SUM(E102:E104)</f>
        <v>0</v>
      </c>
      <c r="F105" s="103">
        <f>SUM(F102:F104)</f>
        <v>8124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777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272</v>
      </c>
      <c r="B109" s="611"/>
      <c r="C109" s="611" t="s">
        <v>860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861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" top="0" bottom="0" header="0" footer="0"/>
  <pageSetup fitToHeight="1" fitToWidth="1" horizontalDpi="300" verticalDpi="300" orientation="portrait" paperSize="9" scale="5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J46" sqref="J46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18" t="str">
        <f>'справка №1-БАЛАНС'!E3</f>
        <v>Алианц Лизинг България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175200915</v>
      </c>
    </row>
    <row r="5" spans="1:9" ht="15">
      <c r="A5" s="501" t="s">
        <v>5</v>
      </c>
      <c r="B5" s="619">
        <f>'справка №1-БАЛАНС'!E5</f>
        <v>41364</v>
      </c>
      <c r="C5" s="619"/>
      <c r="D5" s="619"/>
      <c r="E5" s="619"/>
      <c r="F5" s="619"/>
      <c r="G5" s="622" t="s">
        <v>4</v>
      </c>
      <c r="H5" s="62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19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272</v>
      </c>
      <c r="B30" s="621"/>
      <c r="C30" s="621"/>
      <c r="D30" s="459" t="s">
        <v>816</v>
      </c>
      <c r="E30" s="522"/>
      <c r="F30" s="522"/>
      <c r="G30" s="522"/>
      <c r="H30" s="420" t="s">
        <v>778</v>
      </c>
      <c r="I30" s="620"/>
      <c r="J30" s="620"/>
    </row>
    <row r="31" spans="1:9" s="520" customFormat="1" ht="12">
      <c r="A31" s="349"/>
      <c r="B31" s="388"/>
      <c r="C31" s="349"/>
      <c r="D31" s="459" t="s">
        <v>862</v>
      </c>
      <c r="E31" s="522"/>
      <c r="F31" s="522"/>
      <c r="G31" s="522"/>
      <c r="H31" s="459" t="s">
        <v>863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6">
    <mergeCell ref="B4:F4"/>
    <mergeCell ref="B5:F5"/>
    <mergeCell ref="I30:J30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H21" sqref="H2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5" t="str">
        <f>'справка №1-БАЛАНС'!E3</f>
        <v>Алианц Лизинг България АД</v>
      </c>
      <c r="C5" s="625"/>
      <c r="D5" s="625"/>
      <c r="E5" s="569" t="s">
        <v>2</v>
      </c>
      <c r="F5" s="451">
        <f>'справка №1-БАЛАНС'!H3</f>
        <v>175200915</v>
      </c>
    </row>
    <row r="6" spans="1:13" ht="15" customHeight="1">
      <c r="A6" s="27" t="s">
        <v>819</v>
      </c>
      <c r="B6" s="626">
        <f>'справка №1-БАЛАНС'!E5</f>
        <v>41364</v>
      </c>
      <c r="C6" s="626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272</v>
      </c>
      <c r="B151" s="453"/>
      <c r="C151" s="627" t="s">
        <v>860</v>
      </c>
      <c r="D151" s="627"/>
      <c r="E151" s="627"/>
      <c r="F151" s="627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7" t="s">
        <v>861</v>
      </c>
      <c r="D153" s="627"/>
      <c r="E153" s="627"/>
      <c r="F153" s="627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fitToHeight="1" fitToWidth="1" horizontalDpi="300" verticalDpi="300" orientation="portrait" paperSize="9" scale="39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Milena Shopova</cp:lastModifiedBy>
  <cp:lastPrinted>2012-01-13T11:01:30Z</cp:lastPrinted>
  <dcterms:created xsi:type="dcterms:W3CDTF">2000-06-29T12:02:40Z</dcterms:created>
  <dcterms:modified xsi:type="dcterms:W3CDTF">2013-07-17T13:00:23Z</dcterms:modified>
  <cp:category/>
  <cp:version/>
  <cp:contentType/>
  <cp:contentStatus/>
</cp:coreProperties>
</file>