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1" windowWidth="14445" windowHeight="11805" tabRatio="858" activeTab="1"/>
  </bookViews>
  <sheets>
    <sheet name="Начална" sheetId="1" r:id="rId1"/>
    <sheet name="справка №1-БАЛАНС" sheetId="2" r:id="rId2"/>
    <sheet name="справка №2-ОТЧЕТ ЗА ДОХОДИТE 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externalReferences>
    <externalReference r:id="rId12"/>
  </externalReferences>
  <definedNames>
    <definedName name="_1_0011">'справка №1-БАЛАНС'!$C$11</definedName>
    <definedName name="_authorName">#REF!</definedName>
    <definedName name="_consolidation">'[1]Nomenklaturi'!$A$1:$A$2</definedName>
    <definedName name="_endDate">#REF!</definedName>
    <definedName name="_xlnm._FilterDatabase" localSheetId="3" hidden="1">'справка №3-ОПП по прекия метод'!$A$8:$D$47</definedName>
    <definedName name="_pdeTypeList">'[1]Nomenklaturi'!$A$5:$A$9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3">'справка №3-ОПП по прекия метод'!$A$1:$D$52</definedName>
    <definedName name="_xlnm.Print_Area" localSheetId="4">'справка №4-ОСК'!$A$1:$M$40</definedName>
    <definedName name="_xlnm.Print_Area" localSheetId="7">'справка №7'!$A$2:$J$30</definedName>
    <definedName name="_xlnm.Print_Area" localSheetId="8">'справка №8'!$A:$IV</definedName>
    <definedName name="_xlnm.Print_Titles" localSheetId="1">'справка №1-БАЛАНС'!$8:$8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<sst xmlns="http://schemas.openxmlformats.org/spreadsheetml/2006/main" count="1111" uniqueCount="929">
  <si>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</si>
  <si>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</si>
  <si>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</si>
  <si>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</si>
  <si>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</si>
  <si>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</si>
  <si>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</si>
  <si>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</si>
  <si>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</si>
  <si>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</si>
  <si>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</si>
  <si>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</si>
  <si>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</si>
  <si>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</si>
  <si>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</si>
  <si>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</si>
  <si>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</si>
  <si>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</si>
  <si>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</si>
  <si>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</si>
  <si>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</si>
  <si>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</si>
  <si>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</si>
  <si>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</si>
  <si>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</si>
  <si>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</si>
  <si>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</si>
  <si>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</si>
  <si>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</si>
  <si>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</si>
  <si>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</si>
  <si>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</si>
  <si>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</si>
  <si>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</si>
  <si>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</si>
  <si>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</si>
  <si>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</si>
  <si>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</si>
  <si>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</si>
  <si>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</si>
  <si>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</si>
  <si>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</si>
  <si>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</si>
  <si>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</si>
  <si>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</si>
  <si>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</si>
  <si>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</si>
  <si>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</si>
  <si>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</si>
  <si>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</si>
  <si>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</si>
  <si>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</si>
  <si>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</si>
  <si>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</si>
  <si>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</si>
  <si>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</si>
  <si>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</si>
  <si>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</si>
  <si>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</si>
  <si>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</si>
  <si>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</si>
  <si>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</si>
  <si>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</si>
  <si>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</si>
  <si>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</si>
  <si>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</si>
  <si>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</si>
  <si>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</si>
  <si>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</si>
  <si>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</si>
  <si>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</si>
  <si>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</si>
  <si>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</si>
  <si>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</si>
  <si>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</si>
  <si>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</si>
  <si>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</si>
  <si>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</si>
  <si>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</si>
  <si>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</si>
  <si>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</si>
  <si>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</si>
  <si>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</si>
  <si>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</si>
  <si>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</si>
  <si>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</si>
  <si>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</si>
  <si>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</si>
  <si>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</si>
  <si>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</si>
  <si>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</si>
  <si>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</si>
  <si>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</si>
  <si>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</si>
  <si>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</si>
  <si>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</si>
  <si>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</si>
  <si>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</si>
  <si>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</si>
  <si>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</si>
  <si>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</si>
  <si>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</si>
  <si>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</si>
  <si>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</si>
  <si>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</si>
  <si>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</si>
  <si>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</si>
  <si>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</si>
  <si>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</si>
  <si>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</si>
  <si>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</si>
  <si>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</si>
  <si>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</si>
  <si>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</si>
  <si>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</si>
  <si>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</si>
  <si>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</si>
  <si>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</si>
  <si>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</si>
  <si>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</si>
  <si>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</si>
  <si>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</si>
  <si>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</si>
  <si>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</si>
  <si>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</si>
  <si>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</si>
  <si>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</si>
  <si>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</si>
  <si>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</si>
  <si>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</si>
  <si>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</si>
  <si>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</si>
  <si>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</si>
  <si>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</si>
  <si>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</si>
  <si>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</si>
  <si>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</si>
  <si>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</si>
  <si>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</si>
  <si>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</si>
  <si>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</si>
  <si>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</si>
  <si>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</si>
  <si>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</si>
  <si>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</si>
  <si>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</si>
  <si>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</si>
  <si>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</si>
  <si>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</si>
  <si>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</si>
  <si>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</si>
  <si>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</si>
  <si>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</si>
  <si>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</si>
  <si>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</si>
  <si>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</si>
  <si>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</si>
  <si>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</si>
  <si>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</si>
  <si>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</si>
  <si>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</si>
  <si>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</si>
  <si>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</si>
  <si>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</si>
  <si>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</si>
  <si>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</si>
  <si>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</si>
  <si>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</si>
  <si>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</si>
  <si>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</si>
  <si>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</si>
  <si>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</si>
  <si>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</si>
  <si>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</si>
  <si>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</si>
  <si>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</si>
  <si>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</si>
  <si>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</si>
  <si>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</si>
  <si>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</si>
  <si>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</si>
  <si>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</si>
  <si>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</si>
  <si>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</si>
  <si>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</si>
  <si>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</si>
  <si>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</si>
  <si>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</si>
  <si>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</si>
  <si>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</si>
  <si>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</si>
  <si>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</si>
  <si>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</si>
  <si>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</si>
  <si>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</si>
  <si>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</si>
  <si>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</si>
  <si>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</si>
  <si>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</si>
  <si>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</si>
  <si>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</si>
  <si>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</si>
  <si>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</si>
  <si>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</si>
  <si>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</si>
  <si>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</si>
  <si>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</si>
  <si>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</si>
  <si>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</si>
  <si>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</si>
  <si>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</si>
  <si>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</si>
  <si>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</si>
  <si>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</si>
  <si>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</si>
  <si>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</si>
  <si>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</si>
  <si>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</si>
  <si>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</si>
  <si>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</si>
  <si>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</si>
  <si>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</si>
  <si>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</si>
  <si>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</si>
  <si>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</si>
  <si>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</si>
  <si>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</si>
  <si>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</si>
  <si>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</si>
  <si>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</si>
  <si>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</si>
  <si>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</si>
  <si>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</si>
  <si>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</si>
  <si>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</si>
  <si>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</si>
  <si>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</si>
  <si>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</si>
  <si>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</si>
  <si>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</si>
  <si>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</si>
  <si>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</si>
  <si>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</si>
  <si>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</si>
  <si>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</si>
  <si>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</si>
  <si>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</si>
  <si>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</si>
  <si>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</si>
  <si>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</si>
  <si>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</si>
  <si>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</si>
  <si>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</si>
  <si>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</si>
  <si>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</si>
  <si>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</si>
  <si>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</si>
  <si>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</si>
  <si>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</si>
  <si>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</si>
  <si>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</si>
  <si>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</si>
  <si>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</si>
  <si>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</si>
  <si>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</si>
  <si>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</si>
  <si>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</si>
  <si>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</si>
  <si>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</si>
  <si>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</si>
  <si>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</si>
  <si>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</si>
  <si>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</si>
  <si>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</si>
  <si>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</si>
  <si>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</si>
  <si>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</si>
  <si>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</si>
  <si>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</si>
  <si>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</si>
  <si>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</si>
  <si>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</si>
  <si>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</si>
  <si>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</si>
  <si>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</si>
  <si>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</si>
  <si>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</si>
  <si>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</si>
  <si>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</si>
  <si>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</si>
  <si>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</si>
  <si>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</si>
  <si>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</si>
  <si>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</si>
  <si>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</si>
  <si>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</si>
  <si>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</si>
  <si>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</si>
  <si>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</si>
  <si>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</si>
  <si>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</si>
  <si>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</si>
  <si>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</si>
  <si>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</si>
  <si>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</si>
  <si>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</si>
  <si>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</si>
  <si>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</si>
  <si>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</si>
  <si>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</si>
  <si>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</si>
  <si>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</si>
  <si>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</si>
  <si>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</si>
  <si>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</si>
  <si>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</si>
  <si>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</si>
  <si>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</si>
  <si>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</si>
  <si>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</si>
  <si>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</si>
  <si>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</si>
  <si>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</si>
  <si>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</si>
  <si>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</si>
  <si>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</si>
  <si>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</si>
  <si>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</si>
  <si>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</si>
  <si>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</si>
  <si>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</si>
  <si>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</si>
  <si>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</si>
  <si>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</si>
  <si>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</si>
  <si>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</si>
  <si>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</si>
  <si>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</si>
  <si>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</si>
  <si>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</si>
  <si>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</si>
  <si>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</si>
  <si>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</si>
  <si>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</si>
  <si>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</si>
  <si>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</si>
  <si>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</si>
  <si>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</si>
  <si>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</si>
  <si>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</si>
  <si>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</si>
  <si>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</si>
  <si>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</si>
  <si>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</si>
  <si>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</si>
  <si>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</si>
  <si>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</si>
  <si>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</si>
  <si>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</si>
  <si>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</si>
  <si>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</si>
  <si>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</si>
  <si>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</si>
  <si>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</si>
  <si>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</si>
  <si>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</si>
  <si>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</si>
  <si>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</si>
  <si>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</si>
  <si>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</si>
  <si>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</si>
  <si>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</si>
  <si>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</si>
  <si>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</si>
  <si>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</si>
  <si>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</si>
  <si>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</si>
  <si>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</si>
  <si>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</si>
  <si>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</si>
  <si>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</si>
  <si>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</si>
  <si>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</si>
  <si>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</si>
  <si>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</si>
  <si>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</si>
  <si>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</si>
  <si>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</si>
  <si>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</si>
  <si>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</si>
  <si>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</si>
  <si>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</si>
  <si>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</si>
  <si>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</si>
  <si>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</si>
  <si>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</si>
  <si>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</si>
  <si>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</si>
  <si>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</si>
  <si>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</si>
  <si>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</si>
  <si>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</si>
  <si>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</si>
  <si>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</si>
  <si>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</si>
  <si>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</si>
  <si>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</si>
  <si>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</si>
  <si>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</si>
  <si>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</si>
  <si>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</si>
  <si>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</si>
  <si>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</si>
  <si>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</si>
  <si>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</si>
  <si>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</si>
  <si>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</si>
  <si>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</si>
  <si>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</si>
  <si>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</si>
  <si>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</si>
  <si>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</si>
  <si>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</si>
  <si>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</si>
  <si>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</si>
  <si>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</si>
  <si>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</si>
  <si>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</si>
  <si>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</si>
  <si>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</si>
  <si>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</si>
  <si>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</si>
  <si>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</si>
  <si>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</si>
  <si>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</si>
  <si>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</si>
  <si>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</si>
  <si>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</si>
  <si>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</si>
  <si>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</si>
  <si>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</si>
  <si>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</si>
  <si>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</si>
  <si>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</si>
  <si>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</si>
  <si>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</si>
  <si>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</si>
  <si>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</si>
  <si>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</si>
  <si>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</si>
  <si>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</si>
  <si>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</si>
  <si>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</si>
  <si>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</si>
  <si>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</si>
  <si>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</si>
  <si>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</si>
  <si>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</si>
  <si>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</si>
  <si>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</si>
  <si>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</si>
  <si>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</si>
  <si>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</si>
  <si>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</si>
  <si>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</si>
  <si>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</si>
  <si>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</si>
  <si>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</si>
  <si>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</si>
  <si>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</si>
  <si>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</si>
  <si>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</si>
  <si>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</si>
  <si>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</si>
  <si>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</si>
  <si>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</si>
  <si>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</si>
  <si>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</si>
  <si>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</si>
  <si>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</si>
  <si>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</si>
  <si>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</si>
  <si>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</si>
  <si>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</si>
  <si>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</si>
  <si>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</si>
  <si>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</si>
  <si>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</si>
  <si>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</si>
  <si>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</si>
  <si>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</si>
  <si>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</si>
  <si>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</si>
  <si>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</si>
  <si>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</si>
  <si>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</si>
  <si>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</si>
  <si>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</si>
  <si>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</si>
  <si>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</si>
  <si>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</si>
  <si>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</si>
  <si>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</si>
  <si>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</si>
  <si>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</si>
  <si>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</si>
  <si>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</si>
  <si>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</si>
  <si>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</si>
  <si>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</si>
  <si>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</si>
  <si>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</si>
  <si>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</si>
  <si>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</si>
  <si>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</si>
  <si>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</si>
  <si>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</si>
  <si>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</si>
  <si>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</si>
  <si>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</si>
  <si>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</si>
  <si>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</si>
  <si>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</si>
  <si>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</si>
  <si>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</si>
  <si>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</si>
  <si>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</si>
  <si>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</si>
  <si>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</si>
  <si>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</si>
  <si>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</si>
  <si>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</si>
  <si>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</si>
  <si>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</si>
  <si>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</si>
  <si>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</si>
  <si>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</si>
  <si>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</si>
  <si>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</si>
  <si>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</si>
  <si>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</si>
  <si>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</si>
  <si>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</si>
  <si>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</si>
  <si>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</si>
  <si>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</si>
  <si>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</si>
  <si>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</si>
  <si>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</si>
  <si>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</si>
  <si>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</si>
  <si>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</si>
  <si>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</si>
  <si>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</si>
  <si>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</si>
  <si>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</si>
  <si>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</si>
  <si>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</si>
  <si>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</si>
  <si>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</si>
  <si>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</si>
  <si>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</si>
  <si>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</si>
  <si>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</si>
  <si>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</si>
  <si>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</si>
  <si>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</si>
  <si>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</si>
  <si>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</si>
  <si>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</si>
  <si>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</si>
  <si>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</si>
  <si>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</si>
  <si>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</si>
  <si>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</si>
  <si>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</si>
  <si>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</si>
  <si>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</si>
  <si>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</si>
  <si>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</si>
  <si>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</si>
  <si>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</si>
  <si>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</si>
  <si>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</si>
  <si>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</si>
  <si>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</si>
  <si>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</si>
  <si>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</si>
  <si>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</si>
  <si>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</si>
  <si>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</si>
  <si>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</si>
  <si>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</si>
  <si>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</si>
  <si>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</si>
  <si>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</si>
  <si>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</si>
  <si>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</si>
  <si>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</si>
  <si>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</si>
  <si>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</si>
  <si>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</si>
  <si>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</si>
  <si>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</si>
  <si>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</si>
  <si>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</si>
  <si>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</si>
  <si>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</si>
  <si>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</si>
  <si>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</si>
  <si>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</si>
  <si>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</si>
  <si>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</si>
  <si>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</si>
  <si>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</si>
  <si>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</si>
  <si>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</si>
  <si>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</si>
  <si>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</si>
  <si>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</si>
  <si>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</si>
  <si>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</si>
  <si>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</si>
  <si>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</si>
  <si>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</si>
  <si>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</si>
  <si>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</si>
  <si>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</si>
  <si>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</si>
  <si>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</si>
  <si>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</si>
  <si>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</si>
  <si>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</si>
  <si>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</si>
  <si>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</si>
  <si>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</si>
  <si>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</si>
  <si>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</si>
  <si>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</si>
  <si>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</si>
  <si>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</si>
  <si>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</si>
  <si>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</si>
  <si>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</si>
  <si>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</si>
  <si>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</si>
  <si>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</si>
  <si>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</si>
  <si>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</si>
  <si>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</si>
  <si>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</si>
  <si>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</si>
  <si>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</si>
  <si>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</si>
  <si>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</si>
  <si>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</si>
  <si>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</si>
  <si>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</si>
  <si>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</si>
  <si>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</si>
  <si>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</si>
  <si>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</si>
  <si>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</si>
  <si>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</si>
  <si>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</si>
  <si>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</si>
  <si>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</si>
  <si>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</si>
  <si>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</si>
  <si>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</si>
  <si>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</si>
  <si>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</si>
  <si>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</si>
  <si>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</si>
  <si>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</si>
  <si>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</si>
  <si>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</si>
  <si>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</si>
  <si>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</si>
  <si>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</si>
  <si>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</si>
  <si>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</si>
  <si>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</si>
  <si>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</si>
  <si>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</si>
  <si>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</si>
  <si>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</si>
  <si>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</si>
  <si>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</si>
  <si>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</si>
  <si>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</si>
  <si>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</si>
  <si>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</si>
  <si>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</si>
  <si>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</si>
  <si>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</si>
  <si>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</si>
  <si>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</si>
  <si>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</si>
  <si>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</si>
  <si>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</si>
  <si>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</si>
  <si>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</si>
  <si>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</si>
  <si>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</si>
  <si>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</si>
  <si>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</si>
  <si>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</si>
  <si>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</si>
  <si>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</si>
  <si>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</si>
  <si>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</si>
  <si>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</si>
  <si>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</si>
  <si>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</si>
  <si>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</si>
  <si>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</si>
  <si>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</si>
  <si>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</si>
  <si>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</si>
  <si>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</si>
  <si>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</si>
  <si>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</si>
  <si>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</si>
  <si>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</si>
  <si>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</si>
  <si>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</si>
  <si>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</si>
  <si>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</si>
  <si>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</si>
  <si>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</si>
  <si>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</si>
  <si>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</si>
  <si>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</si>
  <si>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</si>
  <si>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</si>
  <si>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</si>
  <si>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</si>
  <si>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</si>
  <si>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</si>
  <si>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</si>
  <si>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</si>
  <si>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</si>
  <si>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</si>
  <si>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</si>
  <si>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</si>
  <si>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</si>
  <si>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</si>
  <si>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</si>
  <si>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</si>
  <si>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</si>
  <si>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</si>
  <si>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</si>
  <si>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</si>
  <si>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</si>
  <si>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</si>
  <si>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</si>
  <si>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</si>
  <si>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</si>
  <si>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</si>
  <si>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</si>
  <si>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</si>
  <si>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</si>
  <si>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</si>
  <si>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</si>
  <si>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</si>
  <si>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</si>
  <si>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</si>
  <si>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</si>
  <si>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</si>
  <si>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</si>
  <si>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</si>
  <si>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</si>
  <si>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</si>
  <si>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</si>
  <si>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</si>
  <si>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</si>
  <si>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</si>
  <si>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</si>
  <si>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</si>
  <si>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</si>
  <si>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</si>
  <si>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</si>
  <si>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</si>
  <si>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</si>
  <si>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</si>
  <si>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</si>
  <si>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</si>
  <si>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</si>
  <si>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</si>
  <si>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</si>
  <si>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</si>
  <si>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</si>
  <si>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</si>
  <si>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</si>
  <si>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</si>
  <si>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</si>
  <si>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</si>
  <si>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</si>
  <si>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</si>
  <si>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</si>
  <si>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</si>
  <si>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</si>
  <si>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</si>
  <si>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</si>
  <si>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</si>
  <si>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</si>
  <si>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</si>
  <si>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</si>
  <si>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</si>
  <si>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</si>
  <si>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</si>
  <si>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</si>
  <si>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</si>
  <si>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</si>
  <si>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</si>
  <si>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</si>
  <si>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</si>
  <si>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</si>
  <si>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</si>
  <si>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</si>
  <si>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</si>
  <si>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</si>
  <si>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</si>
  <si>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</si>
  <si>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</si>
  <si>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</si>
  <si>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</si>
  <si>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</si>
  <si>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</si>
  <si>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</si>
  <si>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</si>
  <si>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</si>
  <si>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</si>
  <si>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</si>
  <si>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</si>
  <si>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</si>
  <si>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</si>
  <si>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</si>
  <si>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</si>
  <si>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</si>
  <si>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</si>
  <si>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</si>
  <si>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</si>
  <si>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</si>
  <si>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</si>
  <si>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</si>
  <si>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</si>
  <si>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</si>
  <si>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</si>
  <si>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</si>
  <si>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</si>
  <si>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</si>
  <si>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Инвестиции в:</t>
  </si>
  <si>
    <t>Обща сума V: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</si>
  <si>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</si>
  <si>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</si>
  <si>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</si>
  <si>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</si>
  <si>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</si>
  <si>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</si>
  <si>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</si>
  <si>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</si>
  <si>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"Химимпорт" АД</t>
  </si>
  <si>
    <t>себестойностен</t>
  </si>
  <si>
    <t>консолидиран</t>
  </si>
  <si>
    <t>1. Нюанс БГ АД</t>
  </si>
  <si>
    <t>50,00%</t>
  </si>
  <si>
    <t>IV. Дял от печалбата на асоциирани и съвместни предприятия</t>
  </si>
  <si>
    <t>III. Дял от загубата на асоциирани и съвместни предприятия</t>
  </si>
  <si>
    <t>24.90%</t>
  </si>
  <si>
    <t>41.00%</t>
  </si>
  <si>
    <t>45.00%</t>
  </si>
  <si>
    <t>42.50%</t>
  </si>
  <si>
    <t>49.00%</t>
  </si>
  <si>
    <t>39.98%</t>
  </si>
  <si>
    <t>35.00%</t>
  </si>
  <si>
    <t>1, Луфтханза Техник София ООД</t>
  </si>
  <si>
    <t>2, ВиТиСи АД</t>
  </si>
  <si>
    <t>3, Амадеус България ООД</t>
  </si>
  <si>
    <t>4, Силвър Уингс България ООД</t>
  </si>
  <si>
    <t>5, Суиспорт България</t>
  </si>
  <si>
    <t>6, Добрички панаир АД</t>
  </si>
  <si>
    <t>7, Каварна Газ ООД</t>
  </si>
  <si>
    <t>СПРАВКИ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</si>
  <si>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</si>
  <si>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</si>
  <si>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</si>
  <si>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</si>
  <si>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</si>
  <si>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</si>
  <si>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</si>
  <si>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ХИМИМПОРТ АД</t>
  </si>
  <si>
    <t>Тип лице:</t>
  </si>
  <si>
    <t>Публично дружество</t>
  </si>
  <si>
    <t>ЕИК:</t>
  </si>
  <si>
    <t>000627519</t>
  </si>
  <si>
    <t>Представляващ/и:</t>
  </si>
  <si>
    <t>ИВО КАМЕНОВ ГЕОРГИЕВ</t>
  </si>
  <si>
    <t>МАРИН ВЕЛИКОВ МИТЕВ</t>
  </si>
  <si>
    <t>Начин на представляване:</t>
  </si>
  <si>
    <t>Заедно и поотделно</t>
  </si>
  <si>
    <t>Адрес на управление:</t>
  </si>
  <si>
    <t>гр. София 1080, ул. Стефан Караджа № 2</t>
  </si>
  <si>
    <t>Адрес за кореспонденция:</t>
  </si>
  <si>
    <t>Телефон:</t>
  </si>
  <si>
    <t>02/9801611</t>
  </si>
  <si>
    <t>Факс:</t>
  </si>
  <si>
    <t xml:space="preserve">02/9848020 </t>
  </si>
  <si>
    <t>E-mail:</t>
  </si>
  <si>
    <t>a.kerezov@chimimport.bg</t>
  </si>
  <si>
    <t>Уеб сайт:</t>
  </si>
  <si>
    <t>http://www.chimimport.bg/</t>
  </si>
  <si>
    <t>Медия:</t>
  </si>
  <si>
    <t>http://www.x3news.com/</t>
  </si>
  <si>
    <t>Съставител на отчета:</t>
  </si>
  <si>
    <t>АЛЕКСАНДЪР ДИМИТРОВ КЕРЕЗОВ</t>
  </si>
  <si>
    <t>Длъжност на съставителя:</t>
  </si>
  <si>
    <t>Главен Счетоводител</t>
  </si>
  <si>
    <t>* Последна актуализация на 14.09.2016 г.</t>
  </si>
  <si>
    <t>годишни и шестмесечни</t>
  </si>
  <si>
    <t>на консолидирана основа</t>
  </si>
  <si>
    <t>по чл.32, а.1, т.5 и чл.33, ал.1, т.6 от Наредба № 2</t>
  </si>
  <si>
    <t>2. Варнафери ООД</t>
  </si>
  <si>
    <t>Дата на съставяне: 30/05/2018</t>
  </si>
  <si>
    <t>30/05/2018</t>
  </si>
  <si>
    <t>Дата на съставяне: 30.05.2018</t>
  </si>
  <si>
    <t>Дата на съставяне:30.05,2018</t>
  </si>
  <si>
    <t>дата 30.05.2018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</si>
</sst>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71">
    <font>
      <sz val="10"/>
      <name val="TmsCyr"/>
      <family val="0"/>
    </font>
    <font>
      <sz val="10"/>
      <color indexed="8"/>
      <name val="Arial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3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1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</cellStyleXfs>
  <cellXfs count="663">
    <xf numFmtId="0" fontId="0" fillId="0" borderId="0" xfId="0" applyAlignment="1">
      <alignment/>
    </xf>
    <xf numFmtId="0" fontId="8" fillId="0" borderId="0" xfId="43" applyFont="1" applyBorder="1" applyAlignment="1" applyProtection="1">
      <alignment horizontal="left" vertical="top"/>
      <protection locked="0"/>
    </xf>
    <xf numFmtId="0" fontId="10" fillId="0" borderId="0" xfId="46" applyFont="1">
      <alignment/>
      <protection/>
    </xf>
    <xf numFmtId="0" fontId="9" fillId="0" borderId="0" xfId="46" applyFont="1" applyAlignment="1">
      <alignment/>
      <protection/>
    </xf>
    <xf numFmtId="0" fontId="9" fillId="0" borderId="0" xfId="44" applyFont="1" applyAlignment="1">
      <alignment wrapText="1"/>
      <protection/>
    </xf>
    <xf numFmtId="0" fontId="9" fillId="0" borderId="10" xfId="46" applyFont="1" applyBorder="1" applyAlignment="1">
      <alignment horizontal="center" vertical="center" wrapText="1"/>
      <protection/>
    </xf>
    <xf numFmtId="0" fontId="9" fillId="0" borderId="10" xfId="46" applyFont="1" applyBorder="1" applyAlignment="1">
      <alignment horizontal="centerContinuous" vertical="center" wrapText="1"/>
      <protection/>
    </xf>
    <xf numFmtId="0" fontId="9" fillId="0" borderId="0" xfId="46" applyFont="1" applyBorder="1" applyAlignment="1">
      <alignment horizontal="center" vertical="center" wrapText="1"/>
      <protection/>
    </xf>
    <xf numFmtId="49" fontId="10" fillId="0" borderId="10" xfId="46" applyNumberFormat="1" applyFont="1" applyBorder="1" applyAlignment="1">
      <alignment horizontal="center" vertical="center" wrapText="1"/>
      <protection/>
    </xf>
    <xf numFmtId="49" fontId="10" fillId="0" borderId="10" xfId="46" applyNumberFormat="1" applyFont="1" applyFill="1" applyBorder="1" applyAlignment="1">
      <alignment horizontal="center" vertical="center" wrapText="1"/>
      <protection/>
    </xf>
    <xf numFmtId="0" fontId="9" fillId="0" borderId="10" xfId="46" applyFont="1" applyBorder="1" applyAlignment="1">
      <alignment vertical="center" wrapText="1"/>
      <protection/>
    </xf>
    <xf numFmtId="0" fontId="10" fillId="0" borderId="0" xfId="46" applyFont="1" applyBorder="1">
      <alignment/>
      <protection/>
    </xf>
    <xf numFmtId="0" fontId="10" fillId="0" borderId="10" xfId="46" applyFont="1" applyBorder="1" applyAlignment="1">
      <alignment vertical="center" wrapText="1"/>
      <protection/>
    </xf>
    <xf numFmtId="0" fontId="10" fillId="0" borderId="10" xfId="46" applyFont="1" applyBorder="1" applyAlignment="1">
      <alignment wrapText="1"/>
      <protection/>
    </xf>
    <xf numFmtId="3" fontId="10" fillId="0" borderId="0" xfId="46" applyNumberFormat="1" applyFont="1" applyBorder="1" applyAlignment="1" applyProtection="1">
      <alignment vertical="center"/>
      <protection locked="0"/>
    </xf>
    <xf numFmtId="0" fontId="9" fillId="0" borderId="0" xfId="46" applyFont="1" applyBorder="1" applyProtection="1">
      <alignment/>
      <protection locked="0"/>
    </xf>
    <xf numFmtId="49" fontId="9" fillId="0" borderId="11" xfId="46" applyNumberFormat="1" applyFont="1" applyBorder="1" applyAlignment="1">
      <alignment horizontal="center" vertical="center" wrapText="1"/>
      <protection/>
    </xf>
    <xf numFmtId="49" fontId="9" fillId="0" borderId="10" xfId="46" applyNumberFormat="1" applyFont="1" applyBorder="1" applyAlignment="1">
      <alignment horizontal="center" vertical="center" wrapText="1"/>
      <protection/>
    </xf>
    <xf numFmtId="49" fontId="10" fillId="0" borderId="10" xfId="46" applyNumberFormat="1" applyFont="1" applyBorder="1" applyAlignment="1">
      <alignment horizontal="center" wrapText="1"/>
      <protection/>
    </xf>
    <xf numFmtId="49" fontId="9" fillId="0" borderId="0" xfId="46" applyNumberFormat="1" applyFont="1" applyBorder="1" applyAlignment="1" applyProtection="1">
      <alignment horizontal="center" wrapText="1"/>
      <protection locked="0"/>
    </xf>
    <xf numFmtId="49" fontId="10" fillId="33" borderId="10" xfId="46" applyNumberFormat="1" applyFont="1" applyFill="1" applyBorder="1" applyAlignment="1">
      <alignment horizontal="center" vertical="center" wrapText="1"/>
      <protection/>
    </xf>
    <xf numFmtId="49" fontId="9" fillId="0" borderId="12" xfId="46" applyNumberFormat="1" applyFont="1" applyBorder="1" applyAlignment="1">
      <alignment horizontal="center" vertical="center" wrapText="1"/>
      <protection/>
    </xf>
    <xf numFmtId="0" fontId="10" fillId="0" borderId="0" xfId="42" applyFont="1">
      <alignment/>
      <protection/>
    </xf>
    <xf numFmtId="0" fontId="10" fillId="0" borderId="0" xfId="41" applyFont="1" applyAlignment="1">
      <alignment horizontal="center"/>
      <protection/>
    </xf>
    <xf numFmtId="49" fontId="3" fillId="0" borderId="0" xfId="40" applyNumberFormat="1" applyFont="1" applyAlignment="1">
      <alignment horizontal="center" vertical="center" wrapText="1"/>
      <protection/>
    </xf>
    <xf numFmtId="0" fontId="3" fillId="0" borderId="0" xfId="40" applyNumberFormat="1" applyFont="1" applyAlignment="1">
      <alignment horizontal="center" vertical="center" wrapText="1"/>
      <protection/>
    </xf>
    <xf numFmtId="0" fontId="3" fillId="0" borderId="0" xfId="41" applyFont="1" applyAlignment="1">
      <alignment vertical="justify"/>
      <protection/>
    </xf>
    <xf numFmtId="0" fontId="3" fillId="0" borderId="0" xfId="41" applyFont="1" applyBorder="1" applyAlignment="1">
      <alignment vertical="justify"/>
      <protection/>
    </xf>
    <xf numFmtId="49" fontId="3" fillId="0" borderId="0" xfId="41" applyNumberFormat="1" applyFont="1" applyBorder="1" applyAlignment="1">
      <alignment vertical="justify"/>
      <protection/>
    </xf>
    <xf numFmtId="0" fontId="4" fillId="0" borderId="0" xfId="41" applyFont="1" applyBorder="1" applyAlignment="1">
      <alignment vertical="justify"/>
      <protection/>
    </xf>
    <xf numFmtId="0" fontId="3" fillId="0" borderId="0" xfId="41" applyFont="1" applyBorder="1" applyAlignment="1">
      <alignment horizontal="right" vertical="justify"/>
      <protection/>
    </xf>
    <xf numFmtId="0" fontId="3" fillId="0" borderId="10" xfId="40" applyFont="1" applyBorder="1" applyAlignment="1">
      <alignment vertical="center" wrapText="1"/>
      <protection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left" vertical="center" wrapText="1"/>
      <protection/>
    </xf>
    <xf numFmtId="49" fontId="3" fillId="0" borderId="10" xfId="40" applyNumberFormat="1" applyFont="1" applyBorder="1" applyAlignment="1">
      <alignment horizontal="left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49" fontId="10" fillId="0" borderId="10" xfId="40" applyNumberFormat="1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right" vertical="center" wrapText="1"/>
      <protection/>
    </xf>
    <xf numFmtId="49" fontId="11" fillId="0" borderId="10" xfId="40" applyNumberFormat="1" applyFont="1" applyBorder="1" applyAlignment="1">
      <alignment horizontal="center" vertical="center" wrapText="1"/>
      <protection/>
    </xf>
    <xf numFmtId="49" fontId="15" fillId="0" borderId="10" xfId="40" applyNumberFormat="1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  <xf numFmtId="0" fontId="3" fillId="0" borderId="0" xfId="40" applyFont="1" applyBorder="1" applyAlignment="1">
      <alignment horizontal="left" vertical="center" wrapText="1"/>
      <protection/>
    </xf>
    <xf numFmtId="49" fontId="3" fillId="0" borderId="0" xfId="40" applyNumberFormat="1" applyFont="1" applyBorder="1" applyAlignment="1">
      <alignment horizontal="left" vertical="center" wrapText="1"/>
      <protection/>
    </xf>
    <xf numFmtId="0" fontId="4" fillId="0" borderId="0" xfId="40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5" applyNumberFormat="1" applyFont="1" applyFill="1" applyBorder="1" applyAlignment="1" applyProtection="1">
      <alignment vertical="center"/>
      <protection locked="0"/>
    </xf>
    <xf numFmtId="1" fontId="10" fillId="35" borderId="10" xfId="45" applyNumberFormat="1" applyFont="1" applyFill="1" applyBorder="1" applyAlignment="1" applyProtection="1">
      <alignment vertical="center"/>
      <protection locked="0"/>
    </xf>
    <xf numFmtId="1" fontId="10" fillId="36" borderId="10" xfId="45" applyNumberFormat="1" applyFont="1" applyFill="1" applyBorder="1" applyAlignment="1" applyProtection="1">
      <alignment vertical="center"/>
      <protection locked="0"/>
    </xf>
    <xf numFmtId="3" fontId="10" fillId="0" borderId="10" xfId="45" applyNumberFormat="1" applyFont="1" applyBorder="1" applyAlignment="1" applyProtection="1">
      <alignment vertical="center"/>
      <protection/>
    </xf>
    <xf numFmtId="3" fontId="10" fillId="0" borderId="10" xfId="45" applyNumberFormat="1" applyFont="1" applyFill="1" applyBorder="1" applyAlignment="1" applyProtection="1">
      <alignment vertical="center"/>
      <protection/>
    </xf>
    <xf numFmtId="1" fontId="9" fillId="34" borderId="10" xfId="45" applyNumberFormat="1" applyFont="1" applyFill="1" applyBorder="1" applyAlignment="1" applyProtection="1">
      <alignment vertical="center"/>
      <protection locked="0"/>
    </xf>
    <xf numFmtId="3" fontId="9" fillId="0" borderId="10" xfId="45" applyNumberFormat="1" applyFont="1" applyBorder="1" applyAlignment="1" applyProtection="1">
      <alignment vertical="center"/>
      <protection/>
    </xf>
    <xf numFmtId="3" fontId="10" fillId="0" borderId="10" xfId="45" applyNumberFormat="1" applyFont="1" applyBorder="1" applyProtection="1">
      <alignment/>
      <protection/>
    </xf>
    <xf numFmtId="1" fontId="10" fillId="35" borderId="10" xfId="44" applyNumberFormat="1" applyFont="1" applyFill="1" applyBorder="1" applyAlignment="1" applyProtection="1">
      <alignment wrapText="1"/>
      <protection locked="0"/>
    </xf>
    <xf numFmtId="3" fontId="10" fillId="0" borderId="10" xfId="44" applyNumberFormat="1" applyFont="1" applyFill="1" applyBorder="1" applyAlignment="1" applyProtection="1">
      <alignment wrapText="1"/>
      <protection/>
    </xf>
    <xf numFmtId="1" fontId="10" fillId="36" borderId="10" xfId="44" applyNumberFormat="1" applyFont="1" applyFill="1" applyBorder="1" applyAlignment="1" applyProtection="1">
      <alignment wrapText="1"/>
      <protection locked="0"/>
    </xf>
    <xf numFmtId="49" fontId="10" fillId="0" borderId="10" xfId="46" applyNumberFormat="1" applyFont="1" applyBorder="1" applyAlignment="1" applyProtection="1">
      <alignment horizontal="center" vertical="center" wrapText="1"/>
      <protection/>
    </xf>
    <xf numFmtId="3" fontId="10" fillId="0" borderId="10" xfId="46" applyNumberFormat="1" applyFont="1" applyFill="1" applyBorder="1" applyAlignment="1" applyProtection="1">
      <alignment vertical="center"/>
      <protection/>
    </xf>
    <xf numFmtId="3" fontId="10" fillId="0" borderId="10" xfId="46" applyNumberFormat="1" applyFont="1" applyBorder="1" applyAlignment="1" applyProtection="1">
      <alignment vertical="center"/>
      <protection/>
    </xf>
    <xf numFmtId="1" fontId="10" fillId="35" borderId="10" xfId="46" applyNumberFormat="1" applyFont="1" applyFill="1" applyBorder="1" applyAlignment="1" applyProtection="1">
      <alignment vertical="center"/>
      <protection locked="0"/>
    </xf>
    <xf numFmtId="3" fontId="10" fillId="0" borderId="13" xfId="46" applyNumberFormat="1" applyFont="1" applyBorder="1" applyAlignment="1" applyProtection="1">
      <alignment vertical="center"/>
      <protection/>
    </xf>
    <xf numFmtId="3" fontId="10" fillId="0" borderId="11" xfId="46" applyNumberFormat="1" applyFont="1" applyBorder="1" applyAlignment="1" applyProtection="1">
      <alignment vertical="center"/>
      <protection/>
    </xf>
    <xf numFmtId="1" fontId="11" fillId="34" borderId="10" xfId="41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41" applyNumberFormat="1" applyFont="1" applyBorder="1" applyAlignment="1" applyProtection="1">
      <alignment horizontal="center" vertical="center" wrapText="1"/>
      <protection/>
    </xf>
    <xf numFmtId="1" fontId="10" fillId="34" borderId="10" xfId="41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41" applyFont="1" applyBorder="1" applyAlignment="1" applyProtection="1">
      <alignment horizontal="center" vertical="center" wrapText="1"/>
      <protection/>
    </xf>
    <xf numFmtId="0" fontId="10" fillId="0" borderId="13" xfId="41" applyFont="1" applyFill="1" applyBorder="1" applyAlignment="1" applyProtection="1">
      <alignment horizontal="center" vertical="center" wrapText="1"/>
      <protection/>
    </xf>
    <xf numFmtId="1" fontId="10" fillId="33" borderId="14" xfId="41" applyNumberFormat="1" applyFont="1" applyFill="1" applyBorder="1" applyAlignment="1" applyProtection="1">
      <alignment horizontal="left" vertical="center" wrapText="1"/>
      <protection/>
    </xf>
    <xf numFmtId="1" fontId="10" fillId="33" borderId="14" xfId="41" applyNumberFormat="1" applyFont="1" applyFill="1" applyBorder="1" applyAlignment="1" applyProtection="1">
      <alignment horizontal="center" vertical="center" wrapText="1"/>
      <protection/>
    </xf>
    <xf numFmtId="0" fontId="10" fillId="0" borderId="11" xfId="41" applyFont="1" applyBorder="1" applyAlignment="1" applyProtection="1">
      <alignment horizontal="center" vertical="center" wrapText="1"/>
      <protection/>
    </xf>
    <xf numFmtId="0" fontId="10" fillId="0" borderId="11" xfId="41" applyFont="1" applyFill="1" applyBorder="1" applyAlignment="1" applyProtection="1">
      <alignment horizontal="center" vertical="center" wrapText="1"/>
      <protection/>
    </xf>
    <xf numFmtId="1" fontId="10" fillId="34" borderId="10" xfId="41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41" applyFont="1" applyBorder="1" applyAlignment="1" applyProtection="1">
      <alignment horizontal="center" vertical="center" wrapText="1"/>
      <protection/>
    </xf>
    <xf numFmtId="0" fontId="10" fillId="0" borderId="10" xfId="41" applyFont="1" applyFill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center" vertical="center" wrapText="1"/>
      <protection/>
    </xf>
    <xf numFmtId="0" fontId="10" fillId="0" borderId="10" xfId="39" applyFont="1" applyBorder="1" applyAlignment="1" applyProtection="1">
      <alignment horizontal="left" vertical="center" wrapText="1"/>
      <protection/>
    </xf>
    <xf numFmtId="0" fontId="10" fillId="0" borderId="0" xfId="39" applyFont="1" applyBorder="1" applyAlignment="1" applyProtection="1">
      <alignment horizontal="left" vertical="center" wrapText="1"/>
      <protection/>
    </xf>
    <xf numFmtId="1" fontId="10" fillId="0" borderId="0" xfId="39" applyNumberFormat="1" applyFont="1" applyBorder="1" applyAlignment="1" applyProtection="1">
      <alignment horizontal="left" vertical="center" wrapText="1"/>
      <protection/>
    </xf>
    <xf numFmtId="49" fontId="9" fillId="0" borderId="13" xfId="39" applyNumberFormat="1" applyFont="1" applyBorder="1" applyAlignment="1" applyProtection="1">
      <alignment horizontal="center" vertical="center" wrapText="1"/>
      <protection/>
    </xf>
    <xf numFmtId="0" fontId="9" fillId="0" borderId="10" xfId="39" applyFont="1" applyBorder="1" applyAlignment="1" applyProtection="1">
      <alignment horizontal="center" vertical="center" wrapText="1"/>
      <protection/>
    </xf>
    <xf numFmtId="49" fontId="9" fillId="0" borderId="15" xfId="39" applyNumberFormat="1" applyFont="1" applyBorder="1" applyAlignment="1" applyProtection="1">
      <alignment horizontal="center" vertical="center" wrapText="1"/>
      <protection/>
    </xf>
    <xf numFmtId="0" fontId="9" fillId="0" borderId="13" xfId="39" applyFont="1" applyBorder="1" applyAlignment="1" applyProtection="1">
      <alignment horizontal="center" vertical="center" wrapText="1"/>
      <protection/>
    </xf>
    <xf numFmtId="49" fontId="9" fillId="0" borderId="11" xfId="39" applyNumberFormat="1" applyFont="1" applyBorder="1" applyAlignment="1" applyProtection="1">
      <alignment horizontal="center" vertical="center" wrapText="1"/>
      <protection/>
    </xf>
    <xf numFmtId="0" fontId="9" fillId="0" borderId="11" xfId="39" applyFont="1" applyBorder="1" applyAlignment="1" applyProtection="1">
      <alignment horizontal="center" vertical="center" wrapText="1"/>
      <protection/>
    </xf>
    <xf numFmtId="0" fontId="10" fillId="0" borderId="10" xfId="39" applyFont="1" applyBorder="1" applyAlignment="1" applyProtection="1">
      <alignment horizontal="center" vertical="center" wrapText="1"/>
      <protection/>
    </xf>
    <xf numFmtId="49" fontId="10" fillId="0" borderId="11" xfId="39" applyNumberFormat="1" applyFont="1" applyBorder="1" applyAlignment="1" applyProtection="1">
      <alignment horizontal="center" vertical="center" wrapText="1"/>
      <protection/>
    </xf>
    <xf numFmtId="0" fontId="10" fillId="0" borderId="11" xfId="39" applyFont="1" applyBorder="1" applyAlignment="1" applyProtection="1">
      <alignment horizontal="center" vertical="center" wrapText="1"/>
      <protection/>
    </xf>
    <xf numFmtId="0" fontId="9" fillId="0" borderId="10" xfId="39" applyFont="1" applyBorder="1" applyAlignment="1" applyProtection="1">
      <alignment horizontal="left" vertical="center" wrapText="1"/>
      <protection/>
    </xf>
    <xf numFmtId="49" fontId="9" fillId="0" borderId="10" xfId="39" applyNumberFormat="1" applyFont="1" applyBorder="1" applyAlignment="1" applyProtection="1">
      <alignment horizontal="left" vertical="center" wrapText="1"/>
      <protection/>
    </xf>
    <xf numFmtId="49" fontId="10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horizontal="right" vertical="center" wrapText="1"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49" fontId="9" fillId="0" borderId="10" xfId="39" applyNumberFormat="1" applyFont="1" applyBorder="1" applyAlignment="1" applyProtection="1">
      <alignment horizontal="center" vertical="center" wrapText="1"/>
      <protection/>
    </xf>
    <xf numFmtId="0" fontId="10" fillId="0" borderId="10" xfId="39" applyFont="1" applyFill="1" applyBorder="1" applyAlignment="1" applyProtection="1">
      <alignment vertical="center" wrapText="1"/>
      <protection/>
    </xf>
    <xf numFmtId="49" fontId="10" fillId="0" borderId="10" xfId="39" applyNumberFormat="1" applyFont="1" applyFill="1" applyBorder="1" applyAlignment="1" applyProtection="1">
      <alignment horizontal="center" vertical="center" wrapText="1"/>
      <protection/>
    </xf>
    <xf numFmtId="0" fontId="9" fillId="0" borderId="0" xfId="39" applyFont="1" applyBorder="1" applyAlignment="1" applyProtection="1">
      <alignment horizontal="right" vertical="center" wrapText="1"/>
      <protection/>
    </xf>
    <xf numFmtId="49" fontId="9" fillId="0" borderId="0" xfId="39" applyNumberFormat="1" applyFont="1" applyBorder="1" applyAlignment="1" applyProtection="1">
      <alignment horizontal="right" vertical="center" wrapText="1"/>
      <protection/>
    </xf>
    <xf numFmtId="1" fontId="10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8" applyFont="1" applyAlignment="1">
      <alignment/>
      <protection/>
    </xf>
    <xf numFmtId="0" fontId="9" fillId="0" borderId="0" xfId="42" applyFont="1">
      <alignment/>
      <protection/>
    </xf>
    <xf numFmtId="0" fontId="10" fillId="0" borderId="0" xfId="42" applyFont="1" applyBorder="1">
      <alignment/>
      <protection/>
    </xf>
    <xf numFmtId="49" fontId="10" fillId="0" borderId="0" xfId="42" applyNumberFormat="1" applyFont="1">
      <alignment/>
      <protection/>
    </xf>
    <xf numFmtId="0" fontId="10" fillId="0" borderId="10" xfId="38" applyFont="1" applyBorder="1" applyAlignment="1" applyProtection="1">
      <alignment horizontal="right" vertical="center" wrapText="1"/>
      <protection/>
    </xf>
    <xf numFmtId="1" fontId="10" fillId="0" borderId="10" xfId="38" applyNumberFormat="1" applyFont="1" applyBorder="1" applyAlignment="1" applyProtection="1">
      <alignment horizontal="right" vertical="center" wrapText="1"/>
      <protection/>
    </xf>
    <xf numFmtId="0" fontId="10" fillId="0" borderId="10" xfId="38" applyFont="1" applyFill="1" applyBorder="1" applyAlignment="1" applyProtection="1">
      <alignment horizontal="right" vertical="center" wrapText="1"/>
      <protection/>
    </xf>
    <xf numFmtId="0" fontId="10" fillId="0" borderId="0" xfId="38" applyFont="1" applyBorder="1" applyProtection="1">
      <alignment/>
      <protection/>
    </xf>
    <xf numFmtId="0" fontId="10" fillId="0" borderId="0" xfId="42" applyFont="1" applyProtection="1">
      <alignment/>
      <protection/>
    </xf>
    <xf numFmtId="1" fontId="10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8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8" applyNumberFormat="1" applyFont="1" applyFill="1" applyBorder="1" applyAlignment="1" applyProtection="1">
      <alignment horizontal="right"/>
      <protection locked="0"/>
    </xf>
    <xf numFmtId="1" fontId="10" fillId="36" borderId="10" xfId="38" applyNumberFormat="1" applyFont="1" applyFill="1" applyBorder="1" applyAlignment="1" applyProtection="1">
      <alignment horizontal="right"/>
      <protection locked="0"/>
    </xf>
    <xf numFmtId="1" fontId="10" fillId="0" borderId="10" xfId="38" applyNumberFormat="1" applyFont="1" applyBorder="1" applyAlignment="1" applyProtection="1">
      <alignment horizontal="right"/>
      <protection/>
    </xf>
    <xf numFmtId="1" fontId="10" fillId="0" borderId="0" xfId="38" applyNumberFormat="1" applyFont="1" applyBorder="1" applyAlignment="1" applyProtection="1">
      <alignment horizontal="left" vertical="center" wrapText="1"/>
      <protection/>
    </xf>
    <xf numFmtId="1" fontId="10" fillId="0" borderId="0" xfId="38" applyNumberFormat="1" applyFont="1" applyBorder="1" applyProtection="1">
      <alignment/>
      <protection/>
    </xf>
    <xf numFmtId="0" fontId="9" fillId="0" borderId="10" xfId="38" applyFont="1" applyBorder="1" applyAlignment="1" applyProtection="1">
      <alignment horizontal="center" vertical="center" wrapText="1"/>
      <protection/>
    </xf>
    <xf numFmtId="0" fontId="9" fillId="0" borderId="0" xfId="42" applyFont="1" applyAlignment="1" applyProtection="1">
      <alignment horizontal="center"/>
      <protection/>
    </xf>
    <xf numFmtId="0" fontId="9" fillId="0" borderId="10" xfId="38" applyFont="1" applyBorder="1" applyAlignment="1" applyProtection="1">
      <alignment horizontal="center"/>
      <protection/>
    </xf>
    <xf numFmtId="1" fontId="10" fillId="0" borderId="10" xfId="38" applyNumberFormat="1" applyFont="1" applyBorder="1" applyAlignment="1" applyProtection="1">
      <alignment horizontal="center" vertical="center" wrapText="1"/>
      <protection/>
    </xf>
    <xf numFmtId="1" fontId="10" fillId="0" borderId="10" xfId="38" applyNumberFormat="1" applyFont="1" applyFill="1" applyBorder="1" applyAlignment="1" applyProtection="1">
      <alignment horizontal="right" vertical="center" wrapText="1"/>
      <protection/>
    </xf>
    <xf numFmtId="1" fontId="10" fillId="0" borderId="10" xfId="38" applyNumberFormat="1" applyFont="1" applyFill="1" applyBorder="1" applyAlignment="1" applyProtection="1">
      <alignment horizontal="center" vertical="center" wrapText="1"/>
      <protection/>
    </xf>
    <xf numFmtId="0" fontId="10" fillId="0" borderId="10" xfId="38" applyFont="1" applyFill="1" applyBorder="1" applyAlignment="1" applyProtection="1">
      <alignment horizontal="center" vertical="center" wrapText="1"/>
      <protection/>
    </xf>
    <xf numFmtId="0" fontId="9" fillId="0" borderId="0" xfId="38" applyFont="1" applyBorder="1" applyProtection="1">
      <alignment/>
      <protection/>
    </xf>
    <xf numFmtId="0" fontId="9" fillId="0" borderId="0" xfId="42" applyFont="1" applyProtection="1">
      <alignment/>
      <protection/>
    </xf>
    <xf numFmtId="0" fontId="9" fillId="0" borderId="10" xfId="38" applyFont="1" applyBorder="1" applyProtection="1">
      <alignment/>
      <protection/>
    </xf>
    <xf numFmtId="1" fontId="10" fillId="0" borderId="10" xfId="38" applyNumberFormat="1" applyFont="1" applyFill="1" applyBorder="1" applyAlignment="1" applyProtection="1">
      <alignment horizontal="right"/>
      <protection/>
    </xf>
    <xf numFmtId="1" fontId="9" fillId="34" borderId="16" xfId="45" applyNumberFormat="1" applyFont="1" applyFill="1" applyBorder="1" applyAlignment="1" applyProtection="1">
      <alignment vertical="center"/>
      <protection locked="0"/>
    </xf>
    <xf numFmtId="0" fontId="9" fillId="0" borderId="10" xfId="45" applyFont="1" applyBorder="1" applyAlignment="1" applyProtection="1">
      <alignment vertical="center" wrapText="1"/>
      <protection/>
    </xf>
    <xf numFmtId="0" fontId="9" fillId="0" borderId="10" xfId="45" applyFont="1" applyBorder="1" applyAlignment="1" applyProtection="1">
      <alignment horizontal="left" vertical="center" wrapText="1"/>
      <protection/>
    </xf>
    <xf numFmtId="49" fontId="9" fillId="0" borderId="10" xfId="45" applyNumberFormat="1" applyFont="1" applyBorder="1" applyAlignment="1" applyProtection="1">
      <alignment horizontal="center" vertical="center" wrapText="1"/>
      <protection/>
    </xf>
    <xf numFmtId="0" fontId="10" fillId="0" borderId="0" xfId="44" applyFont="1" applyBorder="1" applyAlignment="1" applyProtection="1">
      <alignment wrapText="1"/>
      <protection/>
    </xf>
    <xf numFmtId="0" fontId="10" fillId="0" borderId="0" xfId="44" applyFont="1" applyAlignment="1" applyProtection="1">
      <alignment wrapText="1"/>
      <protection/>
    </xf>
    <xf numFmtId="1" fontId="10" fillId="34" borderId="10" xfId="44" applyNumberFormat="1" applyFont="1" applyFill="1" applyBorder="1" applyAlignment="1" applyProtection="1">
      <alignment wrapText="1"/>
      <protection locked="0"/>
    </xf>
    <xf numFmtId="1" fontId="10" fillId="0" borderId="0" xfId="44" applyNumberFormat="1" applyFont="1" applyAlignment="1" applyProtection="1">
      <alignment wrapText="1"/>
      <protection/>
    </xf>
    <xf numFmtId="0" fontId="10" fillId="0" borderId="0" xfId="46" applyFont="1" applyBorder="1" applyProtection="1">
      <alignment/>
      <protection/>
    </xf>
    <xf numFmtId="0" fontId="9" fillId="0" borderId="0" xfId="46" applyFont="1" applyBorder="1" applyAlignment="1">
      <alignment horizontal="centerContinuous" vertical="center" wrapText="1"/>
      <protection/>
    </xf>
    <xf numFmtId="0" fontId="9" fillId="0" borderId="0" xfId="46" applyFont="1" applyBorder="1" applyAlignment="1" applyProtection="1">
      <alignment horizontal="left" vertical="center" wrapText="1"/>
      <protection/>
    </xf>
    <xf numFmtId="0" fontId="10" fillId="0" borderId="0" xfId="38" applyFont="1" applyAlignment="1">
      <alignment horizontal="centerContinuous" vertical="center" wrapText="1"/>
      <protection/>
    </xf>
    <xf numFmtId="0" fontId="9" fillId="0" borderId="10" xfId="38" applyFont="1" applyBorder="1" applyAlignment="1" applyProtection="1">
      <alignment horizontal="centerContinuous" vertical="center" wrapText="1"/>
      <protection/>
    </xf>
    <xf numFmtId="1" fontId="10" fillId="0" borderId="0" xfId="41" applyNumberFormat="1" applyFont="1" applyBorder="1" applyAlignment="1">
      <alignment vertical="justify" wrapText="1"/>
      <protection/>
    </xf>
    <xf numFmtId="0" fontId="9" fillId="0" borderId="12" xfId="39" applyFont="1" applyBorder="1" applyAlignment="1" applyProtection="1">
      <alignment horizontal="centerContinuous" vertical="center" wrapText="1"/>
      <protection/>
    </xf>
    <xf numFmtId="0" fontId="9" fillId="0" borderId="14" xfId="39" applyFont="1" applyBorder="1" applyAlignment="1" applyProtection="1">
      <alignment horizontal="centerContinuous" vertical="center" wrapText="1"/>
      <protection/>
    </xf>
    <xf numFmtId="0" fontId="9" fillId="0" borderId="16" xfId="39" applyFont="1" applyBorder="1" applyAlignment="1" applyProtection="1">
      <alignment horizontal="centerContinuous" vertical="center" wrapText="1"/>
      <protection/>
    </xf>
    <xf numFmtId="0" fontId="9" fillId="0" borderId="10" xfId="39" applyFont="1" applyBorder="1" applyAlignment="1" applyProtection="1">
      <alignment horizontal="centerContinuous" vertical="center" wrapText="1"/>
      <protection/>
    </xf>
    <xf numFmtId="164" fontId="9" fillId="0" borderId="10" xfId="55" applyFont="1" applyBorder="1" applyAlignment="1" applyProtection="1">
      <alignment horizontal="centerContinuous" vertical="center" wrapText="1"/>
      <protection/>
    </xf>
    <xf numFmtId="49" fontId="3" fillId="0" borderId="0" xfId="40" applyNumberFormat="1" applyFont="1" applyAlignment="1">
      <alignment horizontal="centerContinuous" vertical="center" wrapText="1"/>
      <protection/>
    </xf>
    <xf numFmtId="0" fontId="8" fillId="0" borderId="0" xfId="43" applyFont="1" applyAlignment="1">
      <alignment horizontal="left" vertical="top" wrapText="1"/>
      <protection/>
    </xf>
    <xf numFmtId="0" fontId="8" fillId="0" borderId="0" xfId="43" applyFont="1" applyAlignment="1">
      <alignment vertical="top" wrapText="1"/>
      <protection/>
    </xf>
    <xf numFmtId="0" fontId="8" fillId="0" borderId="0" xfId="43" applyFont="1" applyAlignment="1">
      <alignment vertical="top"/>
      <protection/>
    </xf>
    <xf numFmtId="0" fontId="4" fillId="0" borderId="0" xfId="43" applyFont="1" applyAlignment="1">
      <alignment vertical="top"/>
      <protection/>
    </xf>
    <xf numFmtId="0" fontId="6" fillId="0" borderId="0" xfId="43" applyFont="1" applyBorder="1" applyAlignment="1" applyProtection="1">
      <alignment vertical="top" wrapText="1"/>
      <protection locked="0"/>
    </xf>
    <xf numFmtId="1" fontId="8" fillId="34" borderId="12" xfId="43" applyNumberFormat="1" applyFont="1" applyFill="1" applyBorder="1" applyAlignment="1" applyProtection="1">
      <alignment vertical="top" wrapText="1"/>
      <protection locked="0"/>
    </xf>
    <xf numFmtId="1" fontId="8" fillId="34" borderId="17" xfId="43" applyNumberFormat="1" applyFont="1" applyFill="1" applyBorder="1" applyAlignment="1" applyProtection="1">
      <alignment vertical="top" wrapText="1"/>
      <protection locked="0"/>
    </xf>
    <xf numFmtId="1" fontId="8" fillId="36" borderId="17" xfId="43" applyNumberFormat="1" applyFont="1" applyFill="1" applyBorder="1" applyAlignment="1" applyProtection="1">
      <alignment vertical="top" wrapText="1"/>
      <protection locked="0"/>
    </xf>
    <xf numFmtId="1" fontId="8" fillId="0" borderId="17" xfId="43" applyNumberFormat="1" applyFont="1" applyBorder="1" applyAlignment="1" applyProtection="1">
      <alignment vertical="top" wrapText="1"/>
      <protection/>
    </xf>
    <xf numFmtId="1" fontId="8" fillId="0" borderId="12" xfId="43" applyNumberFormat="1" applyFont="1" applyBorder="1" applyAlignment="1" applyProtection="1">
      <alignment vertical="top" wrapText="1"/>
      <protection/>
    </xf>
    <xf numFmtId="1" fontId="8" fillId="0" borderId="17" xfId="43" applyNumberFormat="1" applyFont="1" applyFill="1" applyBorder="1" applyAlignment="1" applyProtection="1">
      <alignment vertical="top" wrapText="1"/>
      <protection/>
    </xf>
    <xf numFmtId="1" fontId="4" fillId="0" borderId="0" xfId="43" applyNumberFormat="1" applyFont="1" applyAlignment="1">
      <alignment vertical="top"/>
      <protection/>
    </xf>
    <xf numFmtId="1" fontId="8" fillId="35" borderId="17" xfId="43" applyNumberFormat="1" applyFont="1" applyFill="1" applyBorder="1" applyAlignment="1" applyProtection="1">
      <alignment vertical="top" wrapText="1"/>
      <protection locked="0"/>
    </xf>
    <xf numFmtId="1" fontId="8" fillId="0" borderId="18" xfId="43" applyNumberFormat="1" applyFont="1" applyBorder="1" applyAlignment="1" applyProtection="1">
      <alignment vertical="top" wrapText="1"/>
      <protection/>
    </xf>
    <xf numFmtId="1" fontId="8" fillId="36" borderId="19" xfId="43" applyNumberFormat="1" applyFont="1" applyFill="1" applyBorder="1" applyAlignment="1" applyProtection="1">
      <alignment vertical="top" wrapText="1"/>
      <protection locked="0"/>
    </xf>
    <xf numFmtId="1" fontId="8" fillId="0" borderId="20" xfId="43" applyNumberFormat="1" applyFont="1" applyBorder="1" applyAlignment="1" applyProtection="1">
      <alignment vertical="top" wrapText="1"/>
      <protection/>
    </xf>
    <xf numFmtId="1" fontId="6" fillId="0" borderId="17" xfId="43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43" applyNumberFormat="1" applyFont="1" applyBorder="1" applyAlignment="1" applyProtection="1">
      <alignment vertical="top" wrapText="1"/>
      <protection/>
    </xf>
    <xf numFmtId="1" fontId="8" fillId="0" borderId="22" xfId="43" applyNumberFormat="1" applyFont="1" applyBorder="1" applyAlignment="1" applyProtection="1">
      <alignment vertical="top" wrapText="1"/>
      <protection/>
    </xf>
    <xf numFmtId="0" fontId="6" fillId="0" borderId="0" xfId="43" applyFont="1" applyBorder="1" applyAlignment="1">
      <alignment vertical="top" wrapText="1"/>
      <protection/>
    </xf>
    <xf numFmtId="49" fontId="6" fillId="0" borderId="0" xfId="43" applyNumberFormat="1" applyFont="1" applyBorder="1" applyAlignment="1">
      <alignment vertical="top" wrapText="1"/>
      <protection/>
    </xf>
    <xf numFmtId="1" fontId="8" fillId="0" borderId="0" xfId="43" applyNumberFormat="1" applyFont="1" applyBorder="1" applyAlignment="1">
      <alignment vertical="top" wrapText="1"/>
      <protection/>
    </xf>
    <xf numFmtId="0" fontId="4" fillId="0" borderId="0" xfId="43" applyFont="1" applyAlignment="1" applyProtection="1">
      <alignment vertical="top" wrapText="1"/>
      <protection locked="0"/>
    </xf>
    <xf numFmtId="0" fontId="8" fillId="0" borderId="0" xfId="43" applyFont="1" applyAlignment="1" applyProtection="1">
      <alignment horizontal="left" vertical="top" wrapText="1"/>
      <protection locked="0"/>
    </xf>
    <xf numFmtId="0" fontId="8" fillId="0" borderId="0" xfId="43" applyFont="1" applyAlignment="1" applyProtection="1">
      <alignment vertical="top" wrapText="1"/>
      <protection locked="0"/>
    </xf>
    <xf numFmtId="0" fontId="8" fillId="0" borderId="0" xfId="43" applyFont="1" applyAlignment="1" applyProtection="1">
      <alignment vertical="top"/>
      <protection locked="0"/>
    </xf>
    <xf numFmtId="0" fontId="4" fillId="0" borderId="0" xfId="43" applyFont="1" applyBorder="1" applyAlignment="1" applyProtection="1">
      <alignment vertical="top" wrapText="1"/>
      <protection locked="0"/>
    </xf>
    <xf numFmtId="0" fontId="4" fillId="0" borderId="0" xfId="43" applyFont="1" applyAlignment="1" applyProtection="1">
      <alignment horizontal="left" vertical="top" wrapText="1"/>
      <protection locked="0"/>
    </xf>
    <xf numFmtId="0" fontId="4" fillId="0" borderId="0" xfId="43" applyFont="1" applyAlignment="1" applyProtection="1">
      <alignment vertical="top"/>
      <protection locked="0"/>
    </xf>
    <xf numFmtId="1" fontId="4" fillId="0" borderId="0" xfId="43" applyNumberFormat="1" applyFont="1" applyAlignment="1" applyProtection="1">
      <alignment vertical="top" wrapText="1"/>
      <protection locked="0"/>
    </xf>
    <xf numFmtId="0" fontId="9" fillId="0" borderId="13" xfId="46" applyFont="1" applyBorder="1" applyAlignment="1">
      <alignment horizontal="centerContinuous" vertical="center" wrapText="1"/>
      <protection/>
    </xf>
    <xf numFmtId="0" fontId="9" fillId="0" borderId="15" xfId="46" applyFont="1" applyBorder="1" applyAlignment="1">
      <alignment horizontal="centerContinuous" vertical="center" wrapText="1"/>
      <protection/>
    </xf>
    <xf numFmtId="0" fontId="9" fillId="0" borderId="11" xfId="46" applyFont="1" applyBorder="1" applyAlignment="1">
      <alignment horizontal="centerContinuous" vertical="center" wrapText="1"/>
      <protection/>
    </xf>
    <xf numFmtId="0" fontId="9" fillId="33" borderId="13" xfId="46" applyFont="1" applyFill="1" applyBorder="1" applyAlignment="1">
      <alignment horizontal="centerContinuous" vertical="center" wrapText="1"/>
      <protection/>
    </xf>
    <xf numFmtId="0" fontId="9" fillId="33" borderId="11" xfId="46" applyFont="1" applyFill="1" applyBorder="1" applyAlignment="1">
      <alignment horizontal="centerContinuous" vertical="center" wrapText="1"/>
      <protection/>
    </xf>
    <xf numFmtId="1" fontId="10" fillId="33" borderId="12" xfId="46" applyNumberFormat="1" applyFont="1" applyFill="1" applyBorder="1" applyAlignment="1" applyProtection="1">
      <alignment vertical="center"/>
      <protection locked="0"/>
    </xf>
    <xf numFmtId="1" fontId="10" fillId="33" borderId="14" xfId="46" applyNumberFormat="1" applyFont="1" applyFill="1" applyBorder="1" applyAlignment="1" applyProtection="1">
      <alignment vertical="center"/>
      <protection locked="0"/>
    </xf>
    <xf numFmtId="1" fontId="10" fillId="33" borderId="16" xfId="46" applyNumberFormat="1" applyFont="1" applyFill="1" applyBorder="1" applyAlignment="1" applyProtection="1">
      <alignment vertical="center"/>
      <protection locked="0"/>
    </xf>
    <xf numFmtId="1" fontId="10" fillId="34" borderId="10" xfId="46" applyNumberFormat="1" applyFont="1" applyFill="1" applyBorder="1" applyAlignment="1" applyProtection="1">
      <alignment vertical="center"/>
      <protection locked="0"/>
    </xf>
    <xf numFmtId="0" fontId="9" fillId="0" borderId="13" xfId="46" applyFont="1" applyBorder="1" applyAlignment="1">
      <alignment horizontal="left" vertical="center" wrapText="1"/>
      <protection/>
    </xf>
    <xf numFmtId="1" fontId="11" fillId="34" borderId="10" xfId="41" applyNumberFormat="1" applyFont="1" applyFill="1" applyBorder="1" applyAlignment="1" applyProtection="1">
      <alignment vertical="center" wrapText="1"/>
      <protection locked="0"/>
    </xf>
    <xf numFmtId="1" fontId="10" fillId="0" borderId="10" xfId="41" applyNumberFormat="1" applyFont="1" applyBorder="1" applyAlignment="1" applyProtection="1">
      <alignment vertical="center" wrapText="1"/>
      <protection/>
    </xf>
    <xf numFmtId="1" fontId="10" fillId="34" borderId="10" xfId="41" applyNumberFormat="1" applyFont="1" applyFill="1" applyBorder="1" applyAlignment="1" applyProtection="1">
      <alignment vertical="center" wrapText="1"/>
      <protection locked="0"/>
    </xf>
    <xf numFmtId="0" fontId="11" fillId="0" borderId="13" xfId="41" applyFont="1" applyBorder="1" applyAlignment="1" applyProtection="1">
      <alignment vertical="center" wrapText="1"/>
      <protection/>
    </xf>
    <xf numFmtId="1" fontId="10" fillId="33" borderId="14" xfId="41" applyNumberFormat="1" applyFont="1" applyFill="1" applyBorder="1" applyAlignment="1" applyProtection="1">
      <alignment vertical="center" wrapText="1"/>
      <protection/>
    </xf>
    <xf numFmtId="0" fontId="10" fillId="0" borderId="11" xfId="41" applyFont="1" applyBorder="1" applyAlignment="1" applyProtection="1">
      <alignment vertical="center" wrapText="1"/>
      <protection/>
    </xf>
    <xf numFmtId="0" fontId="10" fillId="0" borderId="10" xfId="41" applyFont="1" applyBorder="1" applyAlignment="1" applyProtection="1">
      <alignment vertical="center" wrapText="1"/>
      <protection/>
    </xf>
    <xf numFmtId="0" fontId="11" fillId="0" borderId="10" xfId="41" applyFont="1" applyBorder="1" applyAlignment="1" applyProtection="1">
      <alignment vertical="center" wrapText="1"/>
      <protection/>
    </xf>
    <xf numFmtId="1" fontId="10" fillId="36" borderId="10" xfId="39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9" applyNumberFormat="1" applyFont="1" applyAlignment="1" applyProtection="1">
      <alignment horizontal="centerContinuous" vertical="center" wrapText="1"/>
      <protection/>
    </xf>
    <xf numFmtId="1" fontId="10" fillId="0" borderId="12" xfId="46" applyNumberFormat="1" applyFont="1" applyFill="1" applyBorder="1" applyAlignment="1" applyProtection="1">
      <alignment vertical="center"/>
      <protection locked="0"/>
    </xf>
    <xf numFmtId="3" fontId="10" fillId="0" borderId="0" xfId="46" applyNumberFormat="1" applyFont="1" applyBorder="1" applyProtection="1">
      <alignment/>
      <protection/>
    </xf>
    <xf numFmtId="0" fontId="9" fillId="0" borderId="12" xfId="46" applyFont="1" applyBorder="1" applyAlignment="1">
      <alignment horizontal="centerContinuous" vertical="center" wrapText="1"/>
      <protection/>
    </xf>
    <xf numFmtId="0" fontId="9" fillId="0" borderId="16" xfId="46" applyFont="1" applyBorder="1" applyAlignment="1">
      <alignment horizontal="centerContinuous" vertical="center" wrapText="1"/>
      <protection/>
    </xf>
    <xf numFmtId="0" fontId="9" fillId="0" borderId="18" xfId="46" applyFont="1" applyBorder="1" applyAlignment="1">
      <alignment horizontal="left" vertical="center" wrapText="1"/>
      <protection/>
    </xf>
    <xf numFmtId="0" fontId="9" fillId="0" borderId="11" xfId="46" applyFont="1" applyBorder="1" applyAlignment="1">
      <alignment horizontal="center" vertical="center" wrapText="1"/>
      <protection/>
    </xf>
    <xf numFmtId="0" fontId="9" fillId="0" borderId="11" xfId="46" applyFont="1" applyFill="1" applyBorder="1" applyAlignment="1">
      <alignment horizontal="center" vertical="center" wrapText="1"/>
      <protection/>
    </xf>
    <xf numFmtId="0" fontId="9" fillId="0" borderId="23" xfId="46" applyFont="1" applyBorder="1" applyAlignment="1">
      <alignment horizontal="centerContinuous" vertical="center" wrapText="1"/>
      <protection/>
    </xf>
    <xf numFmtId="0" fontId="9" fillId="33" borderId="15" xfId="46" applyFont="1" applyFill="1" applyBorder="1" applyAlignment="1">
      <alignment horizontal="center" vertical="center" wrapText="1"/>
      <protection/>
    </xf>
    <xf numFmtId="0" fontId="9" fillId="0" borderId="18" xfId="46" applyFont="1" applyBorder="1" applyAlignment="1">
      <alignment horizontal="centerContinuous" vertical="center" wrapText="1"/>
      <protection/>
    </xf>
    <xf numFmtId="0" fontId="9" fillId="0" borderId="19" xfId="46" applyFont="1" applyBorder="1" applyAlignment="1">
      <alignment horizontal="center" vertical="center" wrapText="1"/>
      <protection/>
    </xf>
    <xf numFmtId="0" fontId="9" fillId="0" borderId="24" xfId="46" applyFont="1" applyBorder="1" applyAlignment="1">
      <alignment horizontal="centerContinuous" vertical="center" wrapText="1"/>
      <protection/>
    </xf>
    <xf numFmtId="0" fontId="9" fillId="0" borderId="25" xfId="46" applyFont="1" applyBorder="1" applyAlignment="1">
      <alignment horizontal="centerContinuous" vertical="center" wrapText="1"/>
      <protection/>
    </xf>
    <xf numFmtId="49" fontId="9" fillId="0" borderId="18" xfId="46" applyNumberFormat="1" applyFont="1" applyBorder="1" applyAlignment="1">
      <alignment horizontal="centerContinuous" vertical="center" wrapText="1"/>
      <protection/>
    </xf>
    <xf numFmtId="49" fontId="9" fillId="0" borderId="19" xfId="46" applyNumberFormat="1" applyFont="1" applyBorder="1" applyAlignment="1">
      <alignment horizontal="centerContinuous" vertical="center" wrapText="1"/>
      <protection/>
    </xf>
    <xf numFmtId="0" fontId="6" fillId="0" borderId="0" xfId="43" applyFont="1" applyBorder="1" applyAlignment="1" applyProtection="1">
      <alignment horizontal="centerContinuous" vertical="top" wrapText="1"/>
      <protection locked="0"/>
    </xf>
    <xf numFmtId="0" fontId="6" fillId="0" borderId="0" xfId="43" applyFont="1" applyAlignment="1" applyProtection="1">
      <alignment horizontal="left" vertical="top" wrapText="1"/>
      <protection locked="0"/>
    </xf>
    <xf numFmtId="0" fontId="8" fillId="0" borderId="0" xfId="43" applyFont="1" applyBorder="1" applyAlignment="1" applyProtection="1">
      <alignment horizontal="centerContinuous" vertical="top" wrapText="1"/>
      <protection locked="0"/>
    </xf>
    <xf numFmtId="0" fontId="6" fillId="0" borderId="0" xfId="43" applyFont="1" applyAlignment="1" applyProtection="1">
      <alignment horizontal="center" vertical="top" wrapText="1"/>
      <protection locked="0"/>
    </xf>
    <xf numFmtId="0" fontId="8" fillId="0" borderId="0" xfId="43" applyFont="1" applyAlignment="1" applyProtection="1">
      <alignment horizontal="left" vertical="top"/>
      <protection locked="0"/>
    </xf>
    <xf numFmtId="0" fontId="6" fillId="0" borderId="0" xfId="43" applyFont="1" applyBorder="1" applyAlignment="1" applyProtection="1">
      <alignment horizontal="center" vertical="top"/>
      <protection locked="0"/>
    </xf>
    <xf numFmtId="0" fontId="6" fillId="0" borderId="0" xfId="44" applyFont="1" applyAlignment="1" applyProtection="1">
      <alignment wrapText="1"/>
      <protection locked="0"/>
    </xf>
    <xf numFmtId="0" fontId="6" fillId="0" borderId="26" xfId="43" applyFont="1" applyBorder="1" applyAlignment="1" applyProtection="1">
      <alignment horizontal="center" vertical="center"/>
      <protection/>
    </xf>
    <xf numFmtId="0" fontId="6" fillId="0" borderId="27" xfId="43" applyFont="1" applyBorder="1" applyAlignment="1" applyProtection="1">
      <alignment horizontal="center" vertical="top" wrapText="1"/>
      <protection/>
    </xf>
    <xf numFmtId="14" fontId="6" fillId="0" borderId="27" xfId="43" applyNumberFormat="1" applyFont="1" applyBorder="1" applyAlignment="1" applyProtection="1">
      <alignment horizontal="center" vertical="top" wrapText="1"/>
      <protection/>
    </xf>
    <xf numFmtId="49" fontId="6" fillId="0" borderId="27" xfId="43" applyNumberFormat="1" applyFont="1" applyBorder="1" applyAlignment="1" applyProtection="1">
      <alignment horizontal="center" vertical="center" wrapText="1"/>
      <protection/>
    </xf>
    <xf numFmtId="14" fontId="6" fillId="0" borderId="28" xfId="43" applyNumberFormat="1" applyFont="1" applyBorder="1" applyAlignment="1" applyProtection="1">
      <alignment horizontal="center" vertical="top" wrapText="1"/>
      <protection/>
    </xf>
    <xf numFmtId="0" fontId="6" fillId="0" borderId="29" xfId="43" applyFont="1" applyBorder="1" applyAlignment="1" applyProtection="1">
      <alignment horizontal="center" vertical="center" wrapText="1"/>
      <protection/>
    </xf>
    <xf numFmtId="0" fontId="6" fillId="0" borderId="10" xfId="43" applyFont="1" applyBorder="1" applyAlignment="1" applyProtection="1">
      <alignment horizontal="center" vertical="top" wrapText="1"/>
      <protection/>
    </xf>
    <xf numFmtId="49" fontId="6" fillId="0" borderId="10" xfId="43" applyNumberFormat="1" applyFont="1" applyBorder="1" applyAlignment="1" applyProtection="1">
      <alignment horizontal="center" vertical="center" wrapText="1"/>
      <protection/>
    </xf>
    <xf numFmtId="0" fontId="6" fillId="0" borderId="17" xfId="43" applyFont="1" applyBorder="1" applyAlignment="1" applyProtection="1">
      <alignment horizontal="center" vertical="top" wrapText="1"/>
      <protection/>
    </xf>
    <xf numFmtId="49" fontId="6" fillId="0" borderId="10" xfId="43" applyNumberFormat="1" applyFont="1" applyBorder="1" applyAlignment="1" applyProtection="1">
      <alignment horizontal="right" vertical="top" wrapText="1"/>
      <protection/>
    </xf>
    <xf numFmtId="0" fontId="8" fillId="0" borderId="10" xfId="43" applyFont="1" applyBorder="1" applyAlignment="1" applyProtection="1">
      <alignment vertical="top" wrapText="1"/>
      <protection/>
    </xf>
    <xf numFmtId="0" fontId="8" fillId="0" borderId="12" xfId="43" applyFont="1" applyBorder="1" applyAlignment="1" applyProtection="1">
      <alignment vertical="top" wrapText="1"/>
      <protection/>
    </xf>
    <xf numFmtId="49" fontId="6" fillId="33" borderId="18" xfId="43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43" applyFont="1" applyFill="1" applyBorder="1" applyAlignment="1" applyProtection="1">
      <alignment vertical="top" wrapText="1"/>
      <protection/>
    </xf>
    <xf numFmtId="0" fontId="8" fillId="0" borderId="10" xfId="43" applyFont="1" applyBorder="1" applyAlignment="1" applyProtection="1">
      <alignment horizontal="right" vertical="top" wrapText="1"/>
      <protection/>
    </xf>
    <xf numFmtId="0" fontId="17" fillId="37" borderId="10" xfId="43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43" applyNumberFormat="1" applyFont="1" applyBorder="1" applyAlignment="1" applyProtection="1">
      <alignment horizontal="right" vertical="top" wrapText="1"/>
      <protection/>
    </xf>
    <xf numFmtId="1" fontId="4" fillId="0" borderId="10" xfId="43" applyNumberFormat="1" applyFont="1" applyBorder="1" applyAlignment="1" applyProtection="1">
      <alignment horizontal="right" vertical="top" wrapText="1"/>
      <protection/>
    </xf>
    <xf numFmtId="0" fontId="17" fillId="37" borderId="10" xfId="43" applyFont="1" applyFill="1" applyBorder="1" applyAlignment="1" applyProtection="1">
      <alignment vertical="top"/>
      <protection/>
    </xf>
    <xf numFmtId="49" fontId="4" fillId="0" borderId="10" xfId="43" applyNumberFormat="1" applyFont="1" applyFill="1" applyBorder="1" applyAlignment="1" applyProtection="1">
      <alignment horizontal="right" vertical="top" wrapText="1"/>
      <protection/>
    </xf>
    <xf numFmtId="1" fontId="5" fillId="0" borderId="10" xfId="43" applyNumberFormat="1" applyFont="1" applyBorder="1" applyAlignment="1" applyProtection="1">
      <alignment horizontal="right" vertical="top" wrapText="1"/>
      <protection/>
    </xf>
    <xf numFmtId="1" fontId="7" fillId="0" borderId="12" xfId="43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43" applyNumberFormat="1" applyFont="1" applyBorder="1" applyAlignment="1" applyProtection="1">
      <alignment horizontal="right" vertical="top" wrapText="1"/>
      <protection/>
    </xf>
    <xf numFmtId="49" fontId="5" fillId="0" borderId="10" xfId="43" applyNumberFormat="1" applyFont="1" applyFill="1" applyBorder="1" applyAlignment="1" applyProtection="1">
      <alignment horizontal="right" vertical="top" wrapText="1"/>
      <protection/>
    </xf>
    <xf numFmtId="1" fontId="17" fillId="37" borderId="10" xfId="43" applyNumberFormat="1" applyFont="1" applyFill="1" applyBorder="1" applyAlignment="1" applyProtection="1">
      <alignment vertical="top" wrapText="1"/>
      <protection/>
    </xf>
    <xf numFmtId="1" fontId="8" fillId="0" borderId="10" xfId="43" applyNumberFormat="1" applyFont="1" applyBorder="1" applyAlignment="1" applyProtection="1">
      <alignment vertical="top" wrapText="1"/>
      <protection/>
    </xf>
    <xf numFmtId="1" fontId="17" fillId="37" borderId="10" xfId="43" applyNumberFormat="1" applyFont="1" applyFill="1" applyBorder="1" applyAlignment="1" applyProtection="1">
      <alignment vertical="top"/>
      <protection/>
    </xf>
    <xf numFmtId="1" fontId="3" fillId="0" borderId="18" xfId="43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43" applyNumberFormat="1" applyFont="1" applyBorder="1" applyAlignment="1" applyProtection="1">
      <alignment horizontal="right" vertical="top" wrapText="1"/>
      <protection/>
    </xf>
    <xf numFmtId="1" fontId="6" fillId="0" borderId="18" xfId="43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43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43" applyNumberFormat="1" applyFont="1" applyFill="1" applyBorder="1" applyAlignment="1" applyProtection="1">
      <alignment vertical="top"/>
      <protection/>
    </xf>
    <xf numFmtId="0" fontId="17" fillId="37" borderId="29" xfId="43" applyNumberFormat="1" applyFont="1" applyFill="1" applyBorder="1" applyAlignment="1" applyProtection="1">
      <alignment vertical="top" wrapText="1"/>
      <protection/>
    </xf>
    <xf numFmtId="49" fontId="3" fillId="0" borderId="10" xfId="43" applyNumberFormat="1" applyFont="1" applyFill="1" applyBorder="1" applyAlignment="1" applyProtection="1">
      <alignment horizontal="right" vertical="top" wrapText="1"/>
      <protection/>
    </xf>
    <xf numFmtId="1" fontId="6" fillId="0" borderId="10" xfId="43" applyNumberFormat="1" applyFont="1" applyBorder="1" applyAlignment="1" applyProtection="1">
      <alignment horizontal="right" vertical="top" wrapText="1"/>
      <protection/>
    </xf>
    <xf numFmtId="1" fontId="8" fillId="0" borderId="10" xfId="43" applyNumberFormat="1" applyFont="1" applyBorder="1" applyAlignment="1" applyProtection="1">
      <alignment horizontal="right" vertical="top" wrapText="1"/>
      <protection/>
    </xf>
    <xf numFmtId="1" fontId="5" fillId="0" borderId="13" xfId="43" applyNumberFormat="1" applyFont="1" applyBorder="1" applyAlignment="1" applyProtection="1">
      <alignment horizontal="right" vertical="top" wrapText="1"/>
      <protection/>
    </xf>
    <xf numFmtId="1" fontId="4" fillId="0" borderId="18" xfId="43" applyNumberFormat="1" applyFont="1" applyBorder="1" applyAlignment="1" applyProtection="1">
      <alignment horizontal="right" vertical="top" wrapText="1"/>
      <protection/>
    </xf>
    <xf numFmtId="1" fontId="8" fillId="0" borderId="30" xfId="43" applyNumberFormat="1" applyFont="1" applyBorder="1" applyAlignment="1" applyProtection="1">
      <alignment vertical="top" wrapText="1"/>
      <protection/>
    </xf>
    <xf numFmtId="1" fontId="8" fillId="0" borderId="31" xfId="43" applyNumberFormat="1" applyFont="1" applyBorder="1" applyAlignment="1" applyProtection="1">
      <alignment vertical="top" wrapText="1"/>
      <protection/>
    </xf>
    <xf numFmtId="1" fontId="4" fillId="0" borderId="23" xfId="43" applyNumberFormat="1" applyFont="1" applyBorder="1" applyAlignment="1" applyProtection="1">
      <alignment horizontal="right" vertical="top" wrapText="1"/>
      <protection/>
    </xf>
    <xf numFmtId="1" fontId="8" fillId="0" borderId="32" xfId="43" applyNumberFormat="1" applyFont="1" applyBorder="1" applyAlignment="1" applyProtection="1">
      <alignment vertical="top" wrapText="1"/>
      <protection/>
    </xf>
    <xf numFmtId="1" fontId="8" fillId="0" borderId="33" xfId="43" applyNumberFormat="1" applyFont="1" applyBorder="1" applyAlignment="1" applyProtection="1">
      <alignment vertical="top" wrapText="1"/>
      <protection/>
    </xf>
    <xf numFmtId="1" fontId="5" fillId="0" borderId="11" xfId="43" applyNumberFormat="1" applyFont="1" applyBorder="1" applyAlignment="1" applyProtection="1">
      <alignment horizontal="right" vertical="top" wrapText="1"/>
      <protection/>
    </xf>
    <xf numFmtId="1" fontId="5" fillId="33" borderId="10" xfId="43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43" applyNumberFormat="1" applyFont="1" applyBorder="1" applyAlignment="1" applyProtection="1">
      <alignment horizontal="right" vertical="top" wrapText="1"/>
      <protection/>
    </xf>
    <xf numFmtId="49" fontId="3" fillId="0" borderId="36" xfId="43" applyNumberFormat="1" applyFont="1" applyBorder="1" applyAlignment="1" applyProtection="1">
      <alignment horizontal="right" vertical="top" wrapText="1"/>
      <protection/>
    </xf>
    <xf numFmtId="1" fontId="3" fillId="0" borderId="36" xfId="43" applyNumberFormat="1" applyFont="1" applyBorder="1" applyAlignment="1" applyProtection="1">
      <alignment horizontal="right" vertical="top" wrapText="1"/>
      <protection/>
    </xf>
    <xf numFmtId="0" fontId="4" fillId="0" borderId="0" xfId="43" applyFont="1" applyAlignment="1" applyProtection="1">
      <alignment vertical="top"/>
      <protection/>
    </xf>
    <xf numFmtId="1" fontId="4" fillId="0" borderId="0" xfId="43" applyNumberFormat="1" applyFont="1" applyAlignment="1" applyProtection="1">
      <alignment vertical="top"/>
      <protection/>
    </xf>
    <xf numFmtId="0" fontId="9" fillId="0" borderId="10" xfId="45" applyFont="1" applyBorder="1" applyAlignment="1" applyProtection="1">
      <alignment horizontal="center" vertical="center" wrapText="1"/>
      <protection/>
    </xf>
    <xf numFmtId="0" fontId="9" fillId="0" borderId="16" xfId="45" applyFont="1" applyBorder="1" applyAlignment="1" applyProtection="1">
      <alignment horizontal="center" vertical="center" wrapText="1"/>
      <protection/>
    </xf>
    <xf numFmtId="0" fontId="9" fillId="0" borderId="12" xfId="45" applyFont="1" applyBorder="1" applyAlignment="1" applyProtection="1">
      <alignment horizontal="center" vertical="center" wrapText="1"/>
      <protection/>
    </xf>
    <xf numFmtId="0" fontId="9" fillId="0" borderId="11" xfId="45" applyFont="1" applyBorder="1" applyAlignment="1" applyProtection="1">
      <alignment horizontal="center" vertical="center" wrapText="1"/>
      <protection/>
    </xf>
    <xf numFmtId="0" fontId="11" fillId="0" borderId="10" xfId="45" applyFont="1" applyBorder="1" applyAlignment="1" applyProtection="1">
      <alignment vertical="center" wrapText="1"/>
      <protection/>
    </xf>
    <xf numFmtId="0" fontId="10" fillId="0" borderId="10" xfId="45" applyFont="1" applyFill="1" applyBorder="1" applyProtection="1">
      <alignment/>
      <protection/>
    </xf>
    <xf numFmtId="0" fontId="10" fillId="0" borderId="10" xfId="45" applyFont="1" applyBorder="1" applyAlignment="1" applyProtection="1">
      <alignment vertical="center" wrapText="1"/>
      <protection/>
    </xf>
    <xf numFmtId="3" fontId="10" fillId="0" borderId="10" xfId="45" applyNumberFormat="1" applyFont="1" applyBorder="1" applyAlignment="1" applyProtection="1">
      <alignment horizontal="center" vertical="center"/>
      <protection/>
    </xf>
    <xf numFmtId="0" fontId="10" fillId="0" borderId="10" xfId="45" applyFont="1" applyFill="1" applyBorder="1" applyAlignment="1" applyProtection="1">
      <alignment vertical="center" wrapText="1"/>
      <protection/>
    </xf>
    <xf numFmtId="0" fontId="11" fillId="0" borderId="10" xfId="45" applyFont="1" applyBorder="1" applyAlignment="1" applyProtection="1">
      <alignment horizontal="right" vertical="center" wrapText="1"/>
      <protection/>
    </xf>
    <xf numFmtId="0" fontId="10" fillId="0" borderId="10" xfId="45" applyFont="1" applyBorder="1" applyAlignment="1" applyProtection="1">
      <alignment horizontal="left" vertical="center" wrapText="1"/>
      <protection/>
    </xf>
    <xf numFmtId="3" fontId="11" fillId="0" borderId="10" xfId="45" applyNumberFormat="1" applyFont="1" applyBorder="1" applyAlignment="1" applyProtection="1">
      <alignment horizontal="center" vertical="center"/>
      <protection/>
    </xf>
    <xf numFmtId="0" fontId="10" fillId="0" borderId="10" xfId="45" applyFont="1" applyBorder="1" applyAlignment="1" applyProtection="1">
      <alignment wrapText="1"/>
      <protection/>
    </xf>
    <xf numFmtId="0" fontId="10" fillId="0" borderId="16" xfId="45" applyFont="1" applyBorder="1" applyAlignment="1" applyProtection="1">
      <alignment horizontal="center" vertical="center" wrapText="1"/>
      <protection/>
    </xf>
    <xf numFmtId="0" fontId="11" fillId="0" borderId="16" xfId="45" applyFont="1" applyBorder="1" applyAlignment="1" applyProtection="1">
      <alignment horizontal="center" vertical="center" wrapText="1"/>
      <protection/>
    </xf>
    <xf numFmtId="0" fontId="11" fillId="0" borderId="16" xfId="45" applyFont="1" applyBorder="1" applyAlignment="1" applyProtection="1">
      <alignment horizontal="center" wrapText="1"/>
      <protection/>
    </xf>
    <xf numFmtId="0" fontId="12" fillId="0" borderId="10" xfId="45" applyFont="1" applyBorder="1" applyAlignment="1" applyProtection="1">
      <alignment vertical="center" wrapText="1"/>
      <protection/>
    </xf>
    <xf numFmtId="0" fontId="10" fillId="0" borderId="29" xfId="45" applyFont="1" applyBorder="1" applyAlignment="1" applyProtection="1">
      <alignment vertical="center" wrapText="1"/>
      <protection/>
    </xf>
    <xf numFmtId="49" fontId="10" fillId="0" borderId="16" xfId="45" applyNumberFormat="1" applyFont="1" applyBorder="1" applyAlignment="1" applyProtection="1">
      <alignment horizontal="center" vertical="center" wrapText="1"/>
      <protection/>
    </xf>
    <xf numFmtId="0" fontId="10" fillId="0" borderId="14" xfId="45" applyFont="1" applyBorder="1" applyAlignment="1" applyProtection="1">
      <alignment vertical="center" wrapText="1"/>
      <protection/>
    </xf>
    <xf numFmtId="0" fontId="9" fillId="0" borderId="12" xfId="45" applyFont="1" applyBorder="1" applyAlignment="1" applyProtection="1">
      <alignment vertical="center" wrapText="1"/>
      <protection/>
    </xf>
    <xf numFmtId="0" fontId="13" fillId="0" borderId="10" xfId="45" applyFont="1" applyBorder="1" applyAlignment="1" applyProtection="1">
      <alignment vertical="center" wrapText="1"/>
      <protection/>
    </xf>
    <xf numFmtId="0" fontId="10" fillId="0" borderId="0" xfId="45" applyFont="1" applyBorder="1" applyAlignment="1" applyProtection="1">
      <alignment wrapText="1"/>
      <protection/>
    </xf>
    <xf numFmtId="1" fontId="10" fillId="0" borderId="10" xfId="45" applyNumberFormat="1" applyFont="1" applyBorder="1" applyAlignment="1" applyProtection="1">
      <alignment vertical="center"/>
      <protection/>
    </xf>
    <xf numFmtId="1" fontId="8" fillId="38" borderId="17" xfId="43" applyNumberFormat="1" applyFont="1" applyFill="1" applyBorder="1" applyAlignment="1" applyProtection="1">
      <alignment vertical="top" wrapText="1"/>
      <protection locked="0"/>
    </xf>
    <xf numFmtId="1" fontId="8" fillId="38" borderId="12" xfId="43" applyNumberFormat="1" applyFont="1" applyFill="1" applyBorder="1" applyAlignment="1" applyProtection="1">
      <alignment vertical="top" wrapText="1"/>
      <protection locked="0"/>
    </xf>
    <xf numFmtId="0" fontId="10" fillId="0" borderId="0" xfId="44" applyFont="1" applyAlignment="1" applyProtection="1">
      <alignment wrapText="1"/>
      <protection locked="0"/>
    </xf>
    <xf numFmtId="0" fontId="10" fillId="0" borderId="0" xfId="44" applyFont="1" applyFill="1" applyAlignment="1" applyProtection="1">
      <alignment wrapText="1"/>
      <protection locked="0"/>
    </xf>
    <xf numFmtId="0" fontId="9" fillId="0" borderId="0" xfId="44" applyFont="1" applyBorder="1" applyAlignment="1" applyProtection="1">
      <alignment horizontal="centerContinuous" vertical="center" wrapText="1"/>
      <protection locked="0"/>
    </xf>
    <xf numFmtId="0" fontId="9" fillId="0" borderId="0" xfId="44" applyFont="1" applyFill="1" applyBorder="1" applyAlignment="1" applyProtection="1">
      <alignment horizontal="centerContinuous" vertical="center" wrapText="1"/>
      <protection locked="0"/>
    </xf>
    <xf numFmtId="1" fontId="10" fillId="0" borderId="0" xfId="44" applyNumberFormat="1" applyFont="1" applyBorder="1" applyAlignment="1" applyProtection="1">
      <alignment wrapText="1"/>
      <protection/>
    </xf>
    <xf numFmtId="0" fontId="10" fillId="0" borderId="0" xfId="44" applyFont="1" applyAlignment="1" applyProtection="1">
      <alignment horizontal="centerContinuous" wrapText="1"/>
      <protection/>
    </xf>
    <xf numFmtId="0" fontId="10" fillId="0" borderId="0" xfId="44" applyFont="1" applyAlignment="1" applyProtection="1">
      <alignment horizontal="center" wrapText="1"/>
      <protection/>
    </xf>
    <xf numFmtId="0" fontId="9" fillId="0" borderId="0" xfId="44" applyFont="1" applyAlignment="1" applyProtection="1">
      <alignment wrapText="1"/>
      <protection/>
    </xf>
    <xf numFmtId="0" fontId="9" fillId="0" borderId="10" xfId="44" applyFont="1" applyBorder="1" applyAlignment="1" applyProtection="1">
      <alignment horizontal="center" vertical="center" wrapText="1"/>
      <protection/>
    </xf>
    <xf numFmtId="14" fontId="9" fillId="0" borderId="10" xfId="44" applyNumberFormat="1" applyFont="1" applyFill="1" applyBorder="1" applyAlignment="1" applyProtection="1">
      <alignment horizontal="center" vertical="center" wrapText="1"/>
      <protection/>
    </xf>
    <xf numFmtId="0" fontId="10" fillId="0" borderId="0" xfId="44" applyFont="1" applyBorder="1" applyAlignment="1" applyProtection="1">
      <alignment horizontal="center" wrapText="1"/>
      <protection/>
    </xf>
    <xf numFmtId="49" fontId="9" fillId="0" borderId="10" xfId="44" applyNumberFormat="1" applyFont="1" applyFill="1" applyBorder="1" applyAlignment="1" applyProtection="1">
      <alignment horizontal="center" vertical="center" wrapText="1"/>
      <protection/>
    </xf>
    <xf numFmtId="0" fontId="11" fillId="0" borderId="10" xfId="44" applyFont="1" applyBorder="1" applyAlignment="1" applyProtection="1">
      <alignment wrapText="1"/>
      <protection/>
    </xf>
    <xf numFmtId="49" fontId="11" fillId="0" borderId="10" xfId="44" applyNumberFormat="1" applyFont="1" applyBorder="1" applyAlignment="1" applyProtection="1">
      <alignment wrapText="1"/>
      <protection/>
    </xf>
    <xf numFmtId="0" fontId="10" fillId="0" borderId="10" xfId="44" applyFont="1" applyBorder="1" applyAlignment="1" applyProtection="1">
      <alignment wrapText="1"/>
      <protection/>
    </xf>
    <xf numFmtId="49" fontId="10" fillId="0" borderId="10" xfId="44" applyNumberFormat="1" applyFont="1" applyBorder="1" applyAlignment="1" applyProtection="1">
      <alignment horizontal="center" wrapText="1"/>
      <protection/>
    </xf>
    <xf numFmtId="0" fontId="10" fillId="0" borderId="10" xfId="44" applyFont="1" applyFill="1" applyBorder="1" applyAlignment="1" applyProtection="1">
      <alignment wrapText="1"/>
      <protection/>
    </xf>
    <xf numFmtId="49" fontId="10" fillId="0" borderId="10" xfId="44" applyNumberFormat="1" applyFont="1" applyFill="1" applyBorder="1" applyAlignment="1" applyProtection="1">
      <alignment horizontal="center" wrapText="1"/>
      <protection/>
    </xf>
    <xf numFmtId="0" fontId="9" fillId="0" borderId="10" xfId="44" applyFont="1" applyBorder="1" applyAlignment="1" applyProtection="1">
      <alignment horizontal="right" wrapText="1"/>
      <protection/>
    </xf>
    <xf numFmtId="49" fontId="9" fillId="0" borderId="10" xfId="44" applyNumberFormat="1" applyFont="1" applyBorder="1" applyAlignment="1" applyProtection="1">
      <alignment horizontal="center" wrapText="1"/>
      <protection/>
    </xf>
    <xf numFmtId="49" fontId="11" fillId="0" borderId="10" xfId="44" applyNumberFormat="1" applyFont="1" applyBorder="1" applyAlignment="1" applyProtection="1">
      <alignment horizontal="center" wrapText="1"/>
      <protection/>
    </xf>
    <xf numFmtId="1" fontId="10" fillId="0" borderId="10" xfId="44" applyNumberFormat="1" applyFont="1" applyFill="1" applyBorder="1" applyAlignment="1" applyProtection="1">
      <alignment wrapText="1"/>
      <protection/>
    </xf>
    <xf numFmtId="0" fontId="9" fillId="0" borderId="10" xfId="44" applyFont="1" applyBorder="1" applyAlignment="1" applyProtection="1">
      <alignment wrapText="1"/>
      <protection/>
    </xf>
    <xf numFmtId="49" fontId="10" fillId="0" borderId="0" xfId="44" applyNumberFormat="1" applyFont="1" applyBorder="1" applyAlignment="1" applyProtection="1">
      <alignment wrapText="1"/>
      <protection/>
    </xf>
    <xf numFmtId="1" fontId="10" fillId="0" borderId="0" xfId="44" applyNumberFormat="1" applyFont="1" applyFill="1" applyBorder="1" applyAlignment="1" applyProtection="1">
      <alignment wrapText="1"/>
      <protection/>
    </xf>
    <xf numFmtId="0" fontId="9" fillId="0" borderId="0" xfId="44" applyFont="1" applyAlignment="1" applyProtection="1">
      <alignment horizontal="center"/>
      <protection/>
    </xf>
    <xf numFmtId="1" fontId="10" fillId="0" borderId="10" xfId="46" applyNumberFormat="1" applyFont="1" applyFill="1" applyBorder="1" applyAlignment="1" applyProtection="1">
      <alignment vertical="center"/>
      <protection/>
    </xf>
    <xf numFmtId="1" fontId="10" fillId="0" borderId="12" xfId="46" applyNumberFormat="1" applyFont="1" applyFill="1" applyBorder="1" applyAlignment="1" applyProtection="1">
      <alignment vertical="center"/>
      <protection/>
    </xf>
    <xf numFmtId="0" fontId="9" fillId="0" borderId="0" xfId="46" applyFont="1" applyBorder="1" applyAlignment="1" applyProtection="1">
      <alignment vertical="center" wrapText="1"/>
      <protection locked="0"/>
    </xf>
    <xf numFmtId="49" fontId="9" fillId="0" borderId="0" xfId="46" applyNumberFormat="1" applyFont="1" applyBorder="1" applyAlignment="1" applyProtection="1">
      <alignment horizontal="center" vertical="center" wrapText="1"/>
      <protection locked="0"/>
    </xf>
    <xf numFmtId="0" fontId="10" fillId="0" borderId="0" xfId="46" applyFont="1" applyBorder="1" applyProtection="1">
      <alignment/>
      <protection locked="0"/>
    </xf>
    <xf numFmtId="0" fontId="10" fillId="0" borderId="0" xfId="42" applyFont="1" applyProtection="1">
      <alignment/>
      <protection locked="0"/>
    </xf>
    <xf numFmtId="0" fontId="9" fillId="0" borderId="0" xfId="41" applyFont="1" applyAlignment="1" applyProtection="1">
      <alignment horizontal="centerContinuous"/>
      <protection locked="0"/>
    </xf>
    <xf numFmtId="0" fontId="10" fillId="0" borderId="0" xfId="41" applyFont="1" applyProtection="1">
      <alignment/>
      <protection locked="0"/>
    </xf>
    <xf numFmtId="0" fontId="10" fillId="0" borderId="0" xfId="41" applyFont="1" applyAlignment="1" applyProtection="1">
      <alignment horizontal="left" vertical="center" wrapText="1"/>
      <protection locked="0"/>
    </xf>
    <xf numFmtId="0" fontId="10" fillId="0" borderId="0" xfId="41" applyFont="1" applyAlignment="1" applyProtection="1">
      <alignment vertical="center" wrapText="1"/>
      <protection locked="0"/>
    </xf>
    <xf numFmtId="0" fontId="9" fillId="0" borderId="0" xfId="41" applyFont="1" applyProtection="1">
      <alignment/>
      <protection locked="0"/>
    </xf>
    <xf numFmtId="0" fontId="10" fillId="0" borderId="0" xfId="41" applyFont="1" applyAlignment="1" applyProtection="1">
      <alignment/>
      <protection locked="0"/>
    </xf>
    <xf numFmtId="0" fontId="9" fillId="0" borderId="0" xfId="41" applyFont="1" applyBorder="1" applyAlignment="1" applyProtection="1">
      <alignment horizontal="centerContinuous"/>
      <protection locked="0"/>
    </xf>
    <xf numFmtId="0" fontId="9" fillId="0" borderId="10" xfId="41" applyFont="1" applyBorder="1" applyAlignment="1" applyProtection="1">
      <alignment horizontal="centerContinuous" vertical="center" wrapText="1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49" fontId="9" fillId="0" borderId="10" xfId="41" applyNumberFormat="1" applyFont="1" applyBorder="1" applyAlignment="1" applyProtection="1">
      <alignment horizontal="center" vertical="center" wrapText="1"/>
      <protection/>
    </xf>
    <xf numFmtId="0" fontId="9" fillId="0" borderId="10" xfId="41" applyFont="1" applyBorder="1" applyAlignment="1" applyProtection="1">
      <alignment horizontal="centerContinuous"/>
      <protection/>
    </xf>
    <xf numFmtId="0" fontId="9" fillId="0" borderId="10" xfId="41" applyFont="1" applyBorder="1" applyAlignment="1" applyProtection="1">
      <alignment horizontal="center"/>
      <protection/>
    </xf>
    <xf numFmtId="0" fontId="9" fillId="0" borderId="10" xfId="41" applyFont="1" applyBorder="1" applyAlignment="1" applyProtection="1">
      <alignment wrapText="1"/>
      <protection/>
    </xf>
    <xf numFmtId="0" fontId="9" fillId="0" borderId="10" xfId="41" applyFont="1" applyBorder="1" applyAlignment="1" applyProtection="1">
      <alignment vertical="justify" wrapText="1"/>
      <protection/>
    </xf>
    <xf numFmtId="49" fontId="9" fillId="33" borderId="10" xfId="41" applyNumberFormat="1" applyFont="1" applyFill="1" applyBorder="1" applyAlignment="1" applyProtection="1">
      <alignment vertical="justify" wrapText="1"/>
      <protection/>
    </xf>
    <xf numFmtId="0" fontId="10" fillId="33" borderId="10" xfId="41" applyFont="1" applyFill="1" applyBorder="1" applyAlignment="1" applyProtection="1">
      <alignment horizontal="left" vertical="center" wrapText="1"/>
      <protection/>
    </xf>
    <xf numFmtId="0" fontId="10" fillId="0" borderId="10" xfId="41" applyFont="1" applyBorder="1" applyProtection="1">
      <alignment/>
      <protection/>
    </xf>
    <xf numFmtId="49" fontId="10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right"/>
      <protection/>
    </xf>
    <xf numFmtId="49" fontId="11" fillId="0" borderId="10" xfId="41" applyNumberFormat="1" applyFont="1" applyBorder="1" applyAlignment="1" applyProtection="1">
      <alignment horizontal="center" vertical="center" wrapText="1"/>
      <protection/>
    </xf>
    <xf numFmtId="0" fontId="9" fillId="0" borderId="10" xfId="41" applyFont="1" applyBorder="1" applyProtection="1">
      <alignment/>
      <protection/>
    </xf>
    <xf numFmtId="0" fontId="9" fillId="0" borderId="10" xfId="41" applyFont="1" applyBorder="1" applyAlignment="1" applyProtection="1">
      <alignment horizontal="left"/>
      <protection/>
    </xf>
    <xf numFmtId="0" fontId="9" fillId="0" borderId="10" xfId="41" applyFont="1" applyBorder="1" applyAlignment="1" applyProtection="1">
      <alignment vertical="top" wrapText="1"/>
      <protection/>
    </xf>
    <xf numFmtId="0" fontId="9" fillId="0" borderId="10" xfId="41" applyFont="1" applyBorder="1" applyAlignment="1" applyProtection="1">
      <alignment horizontal="left" vertical="center" wrapText="1"/>
      <protection/>
    </xf>
    <xf numFmtId="0" fontId="10" fillId="0" borderId="10" xfId="41" applyFont="1" applyBorder="1" applyAlignment="1" applyProtection="1">
      <alignment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49" fontId="11" fillId="0" borderId="13" xfId="41" applyNumberFormat="1" applyFont="1" applyBorder="1" applyAlignment="1" applyProtection="1">
      <alignment horizontal="center" vertical="center" wrapText="1"/>
      <protection/>
    </xf>
    <xf numFmtId="0" fontId="9" fillId="0" borderId="12" xfId="41" applyFont="1" applyBorder="1" applyAlignment="1" applyProtection="1">
      <alignment vertical="justify" wrapText="1"/>
      <protection/>
    </xf>
    <xf numFmtId="49" fontId="10" fillId="33" borderId="12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vertical="justify"/>
      <protection/>
    </xf>
    <xf numFmtId="49" fontId="10" fillId="0" borderId="11" xfId="41" applyNumberFormat="1" applyFont="1" applyBorder="1" applyAlignment="1" applyProtection="1">
      <alignment horizontal="center" vertical="center" wrapText="1"/>
      <protection/>
    </xf>
    <xf numFmtId="0" fontId="10" fillId="0" borderId="10" xfId="41" applyFont="1" applyBorder="1" applyAlignment="1" applyProtection="1">
      <alignment vertical="justify"/>
      <protection/>
    </xf>
    <xf numFmtId="1" fontId="10" fillId="33" borderId="16" xfId="41" applyNumberFormat="1" applyFont="1" applyFill="1" applyBorder="1" applyAlignment="1" applyProtection="1">
      <alignment horizontal="center" vertical="center" wrapText="1"/>
      <protection/>
    </xf>
    <xf numFmtId="1" fontId="10" fillId="0" borderId="0" xfId="41" applyNumberFormat="1" applyFont="1" applyAlignment="1" applyProtection="1">
      <alignment vertical="center" wrapText="1"/>
      <protection locked="0"/>
    </xf>
    <xf numFmtId="1" fontId="10" fillId="0" borderId="0" xfId="41" applyNumberFormat="1" applyFont="1" applyAlignment="1" applyProtection="1">
      <alignment horizontal="left" vertical="center" wrapText="1"/>
      <protection locked="0"/>
    </xf>
    <xf numFmtId="0" fontId="10" fillId="0" borderId="0" xfId="38" applyFont="1" applyAlignment="1" applyProtection="1">
      <alignment horizontal="left" vertical="center" wrapText="1"/>
      <protection locked="0"/>
    </xf>
    <xf numFmtId="49" fontId="10" fillId="0" borderId="0" xfId="38" applyNumberFormat="1" applyFont="1" applyAlignment="1" applyProtection="1">
      <alignment horizontal="left" vertical="center" wrapText="1"/>
      <protection locked="0"/>
    </xf>
    <xf numFmtId="0" fontId="10" fillId="0" borderId="0" xfId="38" applyFont="1" applyProtection="1">
      <alignment/>
      <protection locked="0"/>
    </xf>
    <xf numFmtId="49" fontId="10" fillId="0" borderId="0" xfId="42" applyNumberFormat="1" applyFont="1" applyProtection="1">
      <alignment/>
      <protection locked="0"/>
    </xf>
    <xf numFmtId="0" fontId="9" fillId="0" borderId="12" xfId="38" applyFont="1" applyBorder="1" applyAlignment="1" applyProtection="1">
      <alignment horizontal="centerContinuous" vertical="center" wrapText="1"/>
      <protection/>
    </xf>
    <xf numFmtId="49" fontId="9" fillId="0" borderId="13" xfId="38" applyNumberFormat="1" applyFont="1" applyBorder="1" applyAlignment="1" applyProtection="1">
      <alignment horizontal="center" vertical="center" wrapText="1"/>
      <protection/>
    </xf>
    <xf numFmtId="1" fontId="9" fillId="0" borderId="16" xfId="38" applyNumberFormat="1" applyFont="1" applyBorder="1" applyAlignment="1" applyProtection="1">
      <alignment horizontal="centerContinuous" vertical="center" wrapText="1"/>
      <protection/>
    </xf>
    <xf numFmtId="49" fontId="9" fillId="0" borderId="11" xfId="38" applyNumberFormat="1" applyFont="1" applyBorder="1" applyAlignment="1" applyProtection="1">
      <alignment horizontal="center" vertical="center" wrapText="1"/>
      <protection/>
    </xf>
    <xf numFmtId="0" fontId="9" fillId="0" borderId="10" xfId="38" applyFont="1" applyBorder="1" applyAlignment="1" applyProtection="1">
      <alignment horizontal="left" vertical="center" wrapText="1"/>
      <protection/>
    </xf>
    <xf numFmtId="49" fontId="11" fillId="0" borderId="10" xfId="38" applyNumberFormat="1" applyFont="1" applyBorder="1" applyAlignment="1" applyProtection="1">
      <alignment horizontal="center" vertical="center" wrapText="1"/>
      <protection/>
    </xf>
    <xf numFmtId="49" fontId="9" fillId="0" borderId="10" xfId="38" applyNumberFormat="1" applyFont="1" applyBorder="1" applyAlignment="1" applyProtection="1">
      <alignment horizontal="center" vertical="center" wrapText="1"/>
      <protection/>
    </xf>
    <xf numFmtId="0" fontId="10" fillId="0" borderId="10" xfId="38" applyFont="1" applyBorder="1" applyAlignment="1" applyProtection="1">
      <alignment horizontal="left" vertical="center" wrapText="1"/>
      <protection/>
    </xf>
    <xf numFmtId="49" fontId="10" fillId="0" borderId="10" xfId="38" applyNumberFormat="1" applyFont="1" applyBorder="1" applyAlignment="1" applyProtection="1">
      <alignment horizontal="center" vertical="center" wrapText="1"/>
      <protection/>
    </xf>
    <xf numFmtId="0" fontId="11" fillId="0" borderId="10" xfId="38" applyFont="1" applyBorder="1" applyAlignment="1" applyProtection="1">
      <alignment horizontal="right" vertical="center" wrapText="1"/>
      <protection/>
    </xf>
    <xf numFmtId="49" fontId="9" fillId="0" borderId="10" xfId="38" applyNumberFormat="1" applyFont="1" applyBorder="1" applyAlignment="1" applyProtection="1">
      <alignment horizontal="left" vertical="center" wrapText="1"/>
      <protection/>
    </xf>
    <xf numFmtId="0" fontId="9" fillId="0" borderId="0" xfId="38" applyFont="1" applyBorder="1" applyAlignment="1" applyProtection="1">
      <alignment horizontal="left" vertical="center" wrapText="1"/>
      <protection/>
    </xf>
    <xf numFmtId="49" fontId="9" fillId="0" borderId="0" xfId="38" applyNumberFormat="1" applyFont="1" applyBorder="1" applyAlignment="1" applyProtection="1">
      <alignment horizontal="left" vertical="center" wrapText="1"/>
      <protection/>
    </xf>
    <xf numFmtId="0" fontId="10" fillId="0" borderId="0" xfId="38" applyFont="1" applyBorder="1" applyAlignment="1" applyProtection="1">
      <alignment horizontal="right" vertical="center" wrapText="1"/>
      <protection/>
    </xf>
    <xf numFmtId="0" fontId="10" fillId="0" borderId="0" xfId="38" applyFont="1" applyBorder="1" applyAlignment="1" applyProtection="1">
      <alignment horizontal="left" vertical="center" wrapText="1"/>
      <protection/>
    </xf>
    <xf numFmtId="0" fontId="9" fillId="0" borderId="16" xfId="38" applyFont="1" applyBorder="1" applyAlignment="1" applyProtection="1">
      <alignment horizontal="centerContinuous" vertical="center" wrapText="1"/>
      <protection/>
    </xf>
    <xf numFmtId="0" fontId="10" fillId="0" borderId="10" xfId="38" applyFont="1" applyBorder="1" applyAlignment="1" applyProtection="1">
      <alignment horizontal="right"/>
      <protection/>
    </xf>
    <xf numFmtId="0" fontId="10" fillId="0" borderId="10" xfId="38" applyFont="1" applyBorder="1" applyAlignment="1" applyProtection="1">
      <alignment vertical="center" wrapText="1"/>
      <protection/>
    </xf>
    <xf numFmtId="49" fontId="15" fillId="0" borderId="10" xfId="38" applyNumberFormat="1" applyFont="1" applyBorder="1" applyAlignment="1" applyProtection="1">
      <alignment horizontal="center" vertical="center" wrapText="1"/>
      <protection/>
    </xf>
    <xf numFmtId="0" fontId="10" fillId="0" borderId="10" xfId="38" applyFont="1" applyBorder="1" applyAlignment="1" applyProtection="1" quotePrefix="1">
      <alignment horizontal="left" vertical="center" wrapText="1"/>
      <protection/>
    </xf>
    <xf numFmtId="49" fontId="10" fillId="0" borderId="0" xfId="38" applyNumberFormat="1" applyFont="1" applyBorder="1" applyAlignment="1" applyProtection="1">
      <alignment horizontal="center" vertical="center" wrapText="1"/>
      <protection/>
    </xf>
    <xf numFmtId="49" fontId="9" fillId="0" borderId="0" xfId="38" applyNumberFormat="1" applyFont="1" applyBorder="1" applyAlignment="1" applyProtection="1">
      <alignment horizontal="center" vertical="center" wrapText="1"/>
      <protection/>
    </xf>
    <xf numFmtId="0" fontId="9" fillId="0" borderId="0" xfId="38" applyFont="1" applyBorder="1" applyAlignment="1" applyProtection="1">
      <alignment horizontal="center"/>
      <protection/>
    </xf>
    <xf numFmtId="0" fontId="11" fillId="0" borderId="10" xfId="38" applyFont="1" applyBorder="1" applyAlignment="1" applyProtection="1">
      <alignment horizontal="left" vertical="center" wrapText="1"/>
      <protection/>
    </xf>
    <xf numFmtId="0" fontId="11" fillId="0" borderId="0" xfId="38" applyFont="1" applyBorder="1" applyAlignment="1" applyProtection="1">
      <alignment horizontal="left" vertical="center" wrapText="1"/>
      <protection/>
    </xf>
    <xf numFmtId="49" fontId="11" fillId="0" borderId="0" xfId="38" applyNumberFormat="1" applyFont="1" applyBorder="1" applyAlignment="1" applyProtection="1">
      <alignment horizontal="left" vertical="center" wrapText="1"/>
      <protection/>
    </xf>
    <xf numFmtId="1" fontId="10" fillId="0" borderId="0" xfId="41" applyNumberFormat="1" applyFont="1" applyBorder="1" applyAlignment="1" applyProtection="1">
      <alignment vertical="justify" wrapText="1"/>
      <protection locked="0"/>
    </xf>
    <xf numFmtId="0" fontId="10" fillId="0" borderId="0" xfId="39" applyFont="1" applyAlignment="1" applyProtection="1">
      <alignment vertical="center" wrapText="1"/>
      <protection locked="0"/>
    </xf>
    <xf numFmtId="49" fontId="10" fillId="0" borderId="0" xfId="39" applyNumberFormat="1" applyFont="1" applyAlignment="1" applyProtection="1">
      <alignment vertical="center" wrapText="1"/>
      <protection locked="0"/>
    </xf>
    <xf numFmtId="0" fontId="9" fillId="0" borderId="0" xfId="39" applyFont="1" applyAlignment="1" applyProtection="1">
      <alignment vertical="center" wrapText="1"/>
      <protection locked="0"/>
    </xf>
    <xf numFmtId="0" fontId="9" fillId="0" borderId="0" xfId="39" applyFont="1" applyAlignment="1" applyProtection="1">
      <alignment horizontal="centerContinuous" vertical="center" wrapText="1"/>
      <protection locked="0"/>
    </xf>
    <xf numFmtId="0" fontId="9" fillId="0" borderId="0" xfId="39" applyFont="1" applyAlignment="1" applyProtection="1">
      <alignment horizontal="center" vertical="center" wrapText="1"/>
      <protection locked="0"/>
    </xf>
    <xf numFmtId="0" fontId="9" fillId="0" borderId="0" xfId="39" applyFont="1" applyProtection="1">
      <alignment/>
      <protection locked="0"/>
    </xf>
    <xf numFmtId="1" fontId="10" fillId="0" borderId="0" xfId="39" applyNumberFormat="1" applyFont="1" applyAlignment="1" applyProtection="1">
      <alignment horizontal="centerContinuous" vertical="center" wrapText="1"/>
      <protection/>
    </xf>
    <xf numFmtId="1" fontId="10" fillId="0" borderId="0" xfId="39" applyNumberFormat="1" applyFont="1" applyAlignment="1" applyProtection="1">
      <alignment vertical="center" wrapText="1"/>
      <protection locked="0"/>
    </xf>
    <xf numFmtId="0" fontId="9" fillId="0" borderId="0" xfId="45" applyFont="1" applyBorder="1" applyAlignment="1" applyProtection="1">
      <alignment wrapText="1"/>
      <protection locked="0"/>
    </xf>
    <xf numFmtId="1" fontId="10" fillId="0" borderId="0" xfId="45" applyNumberFormat="1" applyFont="1" applyBorder="1" applyProtection="1">
      <alignment/>
      <protection locked="0"/>
    </xf>
    <xf numFmtId="0" fontId="9" fillId="0" borderId="0" xfId="45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43" applyFont="1" applyBorder="1" applyAlignment="1" applyProtection="1">
      <alignment horizontal="left" vertical="top" wrapText="1"/>
      <protection locked="0"/>
    </xf>
    <xf numFmtId="1" fontId="4" fillId="0" borderId="10" xfId="40" applyNumberFormat="1" applyFont="1" applyBorder="1" applyAlignment="1">
      <alignment horizontal="right" vertical="center" wrapText="1"/>
      <protection/>
    </xf>
    <xf numFmtId="1" fontId="9" fillId="35" borderId="10" xfId="45" applyNumberFormat="1" applyFont="1" applyFill="1" applyBorder="1" applyAlignment="1" applyProtection="1">
      <alignment vertical="center"/>
      <protection locked="0"/>
    </xf>
    <xf numFmtId="0" fontId="8" fillId="0" borderId="0" xfId="43" applyFont="1" applyBorder="1" applyAlignment="1" applyProtection="1">
      <alignment vertical="top"/>
      <protection locked="0"/>
    </xf>
    <xf numFmtId="49" fontId="6" fillId="0" borderId="0" xfId="43" applyNumberFormat="1" applyFont="1" applyBorder="1" applyAlignment="1" applyProtection="1">
      <alignment vertical="top" wrapText="1"/>
      <protection locked="0"/>
    </xf>
    <xf numFmtId="1" fontId="8" fillId="0" borderId="0" xfId="43" applyNumberFormat="1" applyFont="1" applyBorder="1" applyAlignment="1" applyProtection="1">
      <alignment vertical="top" wrapText="1"/>
      <protection locked="0"/>
    </xf>
    <xf numFmtId="1" fontId="10" fillId="0" borderId="10" xfId="39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43" applyFont="1" applyFill="1" applyAlignment="1" applyProtection="1">
      <alignment horizontal="right" vertical="top" wrapText="1"/>
      <protection locked="0"/>
    </xf>
    <xf numFmtId="1" fontId="9" fillId="0" borderId="10" xfId="41" applyNumberFormat="1" applyFont="1" applyBorder="1" applyAlignment="1" applyProtection="1">
      <alignment vertical="center" wrapText="1"/>
      <protection/>
    </xf>
    <xf numFmtId="1" fontId="8" fillId="34" borderId="12" xfId="43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42" applyNumberFormat="1" applyFont="1" applyFill="1" applyBorder="1" applyAlignment="1" applyProtection="1">
      <alignment horizontal="center"/>
      <protection locked="0"/>
    </xf>
    <xf numFmtId="1" fontId="4" fillId="34" borderId="10" xfId="40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40" applyNumberFormat="1" applyFont="1" applyBorder="1" applyAlignment="1" applyProtection="1">
      <alignment horizontal="right" vertical="center" wrapText="1"/>
      <protection/>
    </xf>
    <xf numFmtId="1" fontId="4" fillId="0" borderId="10" xfId="40" applyNumberFormat="1" applyFont="1" applyFill="1" applyBorder="1" applyAlignment="1" applyProtection="1">
      <alignment horizontal="right" vertical="center" wrapText="1"/>
      <protection/>
    </xf>
    <xf numFmtId="0" fontId="16" fillId="37" borderId="10" xfId="43" applyFont="1" applyFill="1" applyBorder="1" applyAlignment="1" applyProtection="1">
      <alignment horizontal="left" vertical="top" wrapText="1"/>
      <protection/>
    </xf>
    <xf numFmtId="1" fontId="16" fillId="37" borderId="10" xfId="43" applyNumberFormat="1" applyFont="1" applyFill="1" applyBorder="1" applyAlignment="1" applyProtection="1">
      <alignment vertical="top" wrapText="1"/>
      <protection/>
    </xf>
    <xf numFmtId="0" fontId="16" fillId="37" borderId="37" xfId="43" applyFont="1" applyFill="1" applyBorder="1" applyAlignment="1" applyProtection="1">
      <alignment horizontal="left" vertical="top" wrapText="1"/>
      <protection/>
    </xf>
    <xf numFmtId="0" fontId="16" fillId="37" borderId="29" xfId="43" applyFont="1" applyFill="1" applyBorder="1" applyAlignment="1" applyProtection="1">
      <alignment vertical="top" wrapText="1"/>
      <protection/>
    </xf>
    <xf numFmtId="0" fontId="16" fillId="37" borderId="38" xfId="43" applyFont="1" applyFill="1" applyBorder="1" applyAlignment="1" applyProtection="1">
      <alignment vertical="top" wrapText="1"/>
      <protection/>
    </xf>
    <xf numFmtId="49" fontId="16" fillId="37" borderId="36" xfId="43" applyNumberFormat="1" applyFont="1" applyFill="1" applyBorder="1" applyAlignment="1" applyProtection="1">
      <alignment vertical="center" wrapText="1"/>
      <protection/>
    </xf>
    <xf numFmtId="0" fontId="16" fillId="37" borderId="10" xfId="43" applyFont="1" applyFill="1" applyBorder="1" applyAlignment="1" applyProtection="1">
      <alignment vertical="top" wrapText="1"/>
      <protection/>
    </xf>
    <xf numFmtId="0" fontId="3" fillId="0" borderId="0" xfId="40" applyNumberFormat="1" applyFont="1" applyAlignment="1" applyProtection="1">
      <alignment horizontal="center" vertical="center" wrapText="1"/>
      <protection locked="0"/>
    </xf>
    <xf numFmtId="49" fontId="3" fillId="0" borderId="0" xfId="40" applyNumberFormat="1" applyFont="1" applyProtection="1">
      <alignment/>
      <protection locked="0"/>
    </xf>
    <xf numFmtId="0" fontId="10" fillId="0" borderId="10" xfId="41" applyFont="1" applyBorder="1" applyAlignment="1" applyProtection="1">
      <alignment/>
      <protection/>
    </xf>
    <xf numFmtId="49" fontId="10" fillId="0" borderId="10" xfId="41" applyNumberFormat="1" applyFont="1" applyBorder="1" applyAlignment="1" applyProtection="1">
      <alignment horizontal="center" vertical="center"/>
      <protection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1" fontId="10" fillId="34" borderId="10" xfId="41" applyNumberFormat="1" applyFont="1" applyFill="1" applyBorder="1" applyAlignment="1" applyProtection="1">
      <alignment horizontal="center" vertical="center"/>
      <protection locked="0"/>
    </xf>
    <xf numFmtId="0" fontId="9" fillId="0" borderId="0" xfId="39" applyFont="1" applyAlignment="1" applyProtection="1">
      <alignment horizontal="left" vertical="center" wrapText="1"/>
      <protection locked="0"/>
    </xf>
    <xf numFmtId="3" fontId="9" fillId="0" borderId="16" xfId="45" applyNumberFormat="1" applyFont="1" applyFill="1" applyBorder="1" applyAlignment="1" applyProtection="1">
      <alignment vertical="center"/>
      <protection/>
    </xf>
    <xf numFmtId="0" fontId="8" fillId="0" borderId="10" xfId="43" applyFont="1" applyBorder="1" applyAlignment="1" applyProtection="1">
      <alignment vertical="top"/>
      <protection locked="0"/>
    </xf>
    <xf numFmtId="0" fontId="6" fillId="0" borderId="10" xfId="43" applyFont="1" applyBorder="1" applyAlignment="1" applyProtection="1">
      <alignment horizontal="left" vertical="top" wrapText="1"/>
      <protection locked="0"/>
    </xf>
    <xf numFmtId="0" fontId="9" fillId="0" borderId="0" xfId="45" applyFont="1" applyBorder="1" applyAlignment="1" applyProtection="1">
      <alignment horizontal="centerContinuous" vertical="center" wrapText="1"/>
      <protection/>
    </xf>
    <xf numFmtId="0" fontId="10" fillId="0" borderId="0" xfId="45" applyFont="1" applyBorder="1" applyAlignment="1" applyProtection="1">
      <alignment horizontal="centerContinuous"/>
      <protection/>
    </xf>
    <xf numFmtId="0" fontId="10" fillId="0" borderId="35" xfId="45" applyFont="1" applyBorder="1" applyAlignment="1" applyProtection="1">
      <alignment horizontal="centerContinuous"/>
      <protection/>
    </xf>
    <xf numFmtId="0" fontId="10" fillId="0" borderId="0" xfId="45" applyFont="1" applyAlignment="1" applyProtection="1">
      <alignment horizontal="centerContinuous" wrapText="1"/>
      <protection/>
    </xf>
    <xf numFmtId="0" fontId="9" fillId="0" borderId="0" xfId="43" applyFont="1" applyBorder="1" applyAlignment="1" applyProtection="1">
      <alignment vertical="top" wrapText="1"/>
      <protection/>
    </xf>
    <xf numFmtId="0" fontId="9" fillId="0" borderId="0" xfId="44" applyFont="1" applyBorder="1" applyAlignment="1" applyProtection="1">
      <alignment horizontal="centerContinuous" vertical="center" wrapText="1"/>
      <protection/>
    </xf>
    <xf numFmtId="0" fontId="9" fillId="0" borderId="0" xfId="44" applyFont="1" applyFill="1" applyBorder="1" applyAlignment="1" applyProtection="1">
      <alignment horizontal="centerContinuous" vertical="center" wrapText="1"/>
      <protection/>
    </xf>
    <xf numFmtId="0" fontId="9" fillId="0" borderId="0" xfId="43" applyFont="1" applyBorder="1" applyAlignment="1" applyProtection="1">
      <alignment horizontal="left" vertical="top"/>
      <protection/>
    </xf>
    <xf numFmtId="0" fontId="9" fillId="0" borderId="0" xfId="43" applyFont="1" applyBorder="1" applyAlignment="1" applyProtection="1">
      <alignment vertical="top"/>
      <protection/>
    </xf>
    <xf numFmtId="0" fontId="9" fillId="0" borderId="0" xfId="43" applyFont="1" applyFill="1" applyBorder="1" applyAlignment="1" applyProtection="1">
      <alignment vertical="top" wrapText="1"/>
      <protection/>
    </xf>
    <xf numFmtId="0" fontId="9" fillId="0" borderId="0" xfId="44" applyFont="1" applyFill="1" applyBorder="1" applyAlignment="1" applyProtection="1">
      <alignment horizontal="right" vertical="center" wrapText="1"/>
      <protection/>
    </xf>
    <xf numFmtId="0" fontId="9" fillId="0" borderId="0" xfId="46" applyFont="1" applyAlignment="1" applyProtection="1">
      <alignment horizontal="centerContinuous" wrapText="1"/>
      <protection/>
    </xf>
    <xf numFmtId="49" fontId="9" fillId="0" borderId="0" xfId="46" applyNumberFormat="1" applyFont="1" applyAlignment="1" applyProtection="1">
      <alignment horizontal="center" wrapText="1"/>
      <protection/>
    </xf>
    <xf numFmtId="0" fontId="9" fillId="0" borderId="0" xfId="46" applyFont="1" applyAlignment="1" applyProtection="1">
      <alignment horizontal="centerContinuous"/>
      <protection/>
    </xf>
    <xf numFmtId="0" fontId="10" fillId="0" borderId="0" xfId="46" applyFont="1" applyProtection="1">
      <alignment/>
      <protection/>
    </xf>
    <xf numFmtId="0" fontId="8" fillId="0" borderId="0" xfId="46" applyFont="1" applyAlignment="1" applyProtection="1">
      <alignment horizontal="left"/>
      <protection/>
    </xf>
    <xf numFmtId="0" fontId="9" fillId="0" borderId="0" xfId="46" applyFont="1" applyBorder="1" applyAlignment="1" applyProtection="1">
      <alignment horizontal="left" vertical="top" wrapText="1"/>
      <protection/>
    </xf>
    <xf numFmtId="0" fontId="9" fillId="0" borderId="0" xfId="46" applyFont="1" applyProtection="1">
      <alignment/>
      <protection/>
    </xf>
    <xf numFmtId="0" fontId="9" fillId="0" borderId="0" xfId="44" applyFont="1" applyAlignment="1" applyProtection="1">
      <alignment horizontal="right" wrapText="1"/>
      <protection/>
    </xf>
    <xf numFmtId="0" fontId="9" fillId="0" borderId="0" xfId="41" applyFont="1" applyAlignment="1" applyProtection="1">
      <alignment horizontal="left"/>
      <protection/>
    </xf>
    <xf numFmtId="0" fontId="9" fillId="0" borderId="0" xfId="41" applyFont="1" applyAlignment="1" applyProtection="1">
      <alignment horizontal="center"/>
      <protection/>
    </xf>
    <xf numFmtId="0" fontId="4" fillId="0" borderId="0" xfId="41" applyFont="1" applyAlignment="1" applyProtection="1">
      <alignment horizontal="left"/>
      <protection/>
    </xf>
    <xf numFmtId="0" fontId="10" fillId="0" borderId="0" xfId="41" applyFont="1" applyBorder="1" applyAlignment="1" applyProtection="1">
      <alignment vertical="justify" wrapText="1"/>
      <protection/>
    </xf>
    <xf numFmtId="0" fontId="10" fillId="0" borderId="0" xfId="41" applyFont="1" applyBorder="1" applyAlignment="1" applyProtection="1">
      <alignment horizontal="center" vertical="justify" wrapText="1"/>
      <protection/>
    </xf>
    <xf numFmtId="0" fontId="10" fillId="0" borderId="0" xfId="41" applyFont="1" applyProtection="1">
      <alignment/>
      <protection/>
    </xf>
    <xf numFmtId="0" fontId="9" fillId="0" borderId="0" xfId="41" applyFont="1" applyBorder="1" applyAlignment="1" applyProtection="1">
      <alignment vertical="justify" wrapText="1"/>
      <protection/>
    </xf>
    <xf numFmtId="0" fontId="9" fillId="0" borderId="0" xfId="41" applyFont="1" applyAlignment="1" applyProtection="1">
      <alignment horizontal="left" vertical="center" wrapText="1"/>
      <protection/>
    </xf>
    <xf numFmtId="0" fontId="9" fillId="0" borderId="0" xfId="38" applyFont="1" applyAlignment="1" applyProtection="1">
      <alignment horizontal="center" vertical="center"/>
      <protection/>
    </xf>
    <xf numFmtId="49" fontId="9" fillId="0" borderId="0" xfId="38" applyNumberFormat="1" applyFont="1" applyAlignment="1" applyProtection="1">
      <alignment horizontal="center" vertical="center"/>
      <protection/>
    </xf>
    <xf numFmtId="1" fontId="9" fillId="0" borderId="0" xfId="38" applyNumberFormat="1" applyFont="1" applyAlignment="1" applyProtection="1">
      <alignment horizontal="center" vertical="center"/>
      <protection/>
    </xf>
    <xf numFmtId="0" fontId="9" fillId="0" borderId="0" xfId="41" applyFont="1" applyAlignment="1" applyProtection="1">
      <alignment horizontal="left" vertical="justify"/>
      <protection/>
    </xf>
    <xf numFmtId="1" fontId="9" fillId="0" borderId="0" xfId="41" applyNumberFormat="1" applyFont="1" applyBorder="1" applyAlignment="1" applyProtection="1">
      <alignment vertical="justify" wrapText="1"/>
      <protection/>
    </xf>
    <xf numFmtId="0" fontId="9" fillId="0" borderId="0" xfId="38" applyFont="1" applyAlignment="1" applyProtection="1">
      <alignment horizontal="left" vertical="center" wrapText="1"/>
      <protection/>
    </xf>
    <xf numFmtId="49" fontId="9" fillId="0" borderId="0" xfId="38" applyNumberFormat="1" applyFont="1" applyAlignment="1" applyProtection="1">
      <alignment horizontal="left" vertical="center" wrapText="1"/>
      <protection/>
    </xf>
    <xf numFmtId="1" fontId="10" fillId="0" borderId="0" xfId="38" applyNumberFormat="1" applyFont="1" applyAlignment="1" applyProtection="1">
      <alignment horizontal="left" vertical="center" wrapText="1"/>
      <protection/>
    </xf>
    <xf numFmtId="0" fontId="9" fillId="0" borderId="0" xfId="38" applyFont="1" applyProtection="1">
      <alignment/>
      <protection/>
    </xf>
    <xf numFmtId="0" fontId="9" fillId="0" borderId="0" xfId="41" applyFont="1" applyAlignment="1" applyProtection="1">
      <alignment vertical="justify"/>
      <protection/>
    </xf>
    <xf numFmtId="0" fontId="8" fillId="0" borderId="0" xfId="41" applyFont="1" applyAlignment="1" applyProtection="1">
      <alignment horizontal="left"/>
      <protection/>
    </xf>
    <xf numFmtId="0" fontId="9" fillId="0" borderId="0" xfId="41" applyFont="1" applyBorder="1" applyAlignment="1" applyProtection="1">
      <alignment vertical="justify"/>
      <protection/>
    </xf>
    <xf numFmtId="49" fontId="9" fillId="0" borderId="0" xfId="41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43" applyNumberFormat="1" applyFont="1" applyBorder="1" applyAlignment="1" applyProtection="1">
      <alignment horizontal="left" vertical="top" wrapText="1"/>
      <protection locked="0"/>
    </xf>
    <xf numFmtId="166" fontId="9" fillId="0" borderId="0" xfId="43" applyNumberFormat="1" applyFont="1" applyBorder="1" applyAlignment="1" applyProtection="1">
      <alignment horizontal="left" vertical="top"/>
      <protection/>
    </xf>
    <xf numFmtId="0" fontId="4" fillId="0" borderId="0" xfId="40" applyFont="1" applyAlignment="1">
      <alignment horizontal="left" vertical="center" wrapText="1"/>
      <protection/>
    </xf>
    <xf numFmtId="49" fontId="4" fillId="0" borderId="0" xfId="40" applyNumberFormat="1" applyFont="1" applyAlignment="1">
      <alignment horizontal="left" vertical="center" wrapText="1"/>
      <protection/>
    </xf>
    <xf numFmtId="0" fontId="4" fillId="0" borderId="0" xfId="42" applyFont="1">
      <alignment/>
      <protection/>
    </xf>
    <xf numFmtId="0" fontId="4" fillId="0" borderId="0" xfId="41" applyNumberFormat="1" applyFont="1" applyAlignment="1">
      <alignment horizontal="center"/>
      <protection/>
    </xf>
    <xf numFmtId="0" fontId="4" fillId="0" borderId="0" xfId="41" applyFont="1" applyAlignment="1" applyProtection="1">
      <alignment horizontal="center"/>
      <protection locked="0"/>
    </xf>
    <xf numFmtId="0" fontId="4" fillId="0" borderId="0" xfId="41" applyFont="1" applyAlignment="1">
      <alignment horizontal="center"/>
      <protection/>
    </xf>
    <xf numFmtId="0" fontId="4" fillId="0" borderId="0" xfId="42" applyFont="1" applyAlignment="1">
      <alignment/>
      <protection/>
    </xf>
    <xf numFmtId="0" fontId="3" fillId="0" borderId="0" xfId="42" applyFont="1" applyBorder="1">
      <alignment/>
      <protection/>
    </xf>
    <xf numFmtId="0" fontId="3" fillId="0" borderId="0" xfId="42" applyFont="1">
      <alignment/>
      <protection/>
    </xf>
    <xf numFmtId="0" fontId="4" fillId="0" borderId="0" xfId="42" applyFont="1" applyProtection="1">
      <alignment/>
      <protection/>
    </xf>
    <xf numFmtId="0" fontId="4" fillId="0" borderId="0" xfId="40" applyFont="1">
      <alignment/>
      <protection/>
    </xf>
    <xf numFmtId="49" fontId="4" fillId="0" borderId="0" xfId="40" applyNumberFormat="1" applyFont="1">
      <alignment/>
      <protection/>
    </xf>
    <xf numFmtId="49" fontId="4" fillId="0" borderId="0" xfId="42" applyNumberFormat="1" applyFont="1">
      <alignment/>
      <protection/>
    </xf>
    <xf numFmtId="0" fontId="9" fillId="0" borderId="0" xfId="42" applyFont="1" applyBorder="1" applyProtection="1">
      <alignment/>
      <protection/>
    </xf>
    <xf numFmtId="0" fontId="10" fillId="0" borderId="0" xfId="42" applyFont="1" applyBorder="1" applyProtection="1">
      <alignment/>
      <protection/>
    </xf>
    <xf numFmtId="1" fontId="10" fillId="0" borderId="0" xfId="42" applyNumberFormat="1" applyFont="1" applyBorder="1" applyProtection="1">
      <alignment/>
      <protection/>
    </xf>
    <xf numFmtId="1" fontId="10" fillId="0" borderId="0" xfId="42" applyNumberFormat="1" applyFont="1" applyProtection="1">
      <alignment/>
      <protection locked="0"/>
    </xf>
    <xf numFmtId="49" fontId="10" fillId="0" borderId="0" xfId="42" applyNumberFormat="1" applyFont="1" applyProtection="1">
      <alignment/>
      <protection/>
    </xf>
    <xf numFmtId="1" fontId="10" fillId="0" borderId="0" xfId="42" applyNumberFormat="1" applyFont="1" applyProtection="1">
      <alignment/>
      <protection/>
    </xf>
    <xf numFmtId="0" fontId="8" fillId="0" borderId="0" xfId="43" applyFont="1" applyAlignment="1" applyProtection="1">
      <alignment vertical="top"/>
      <protection/>
    </xf>
    <xf numFmtId="0" fontId="8" fillId="0" borderId="0" xfId="43" applyFont="1" applyAlignment="1" applyProtection="1">
      <alignment vertical="top" wrapText="1"/>
      <protection/>
    </xf>
    <xf numFmtId="0" fontId="9" fillId="0" borderId="0" xfId="42" applyFont="1" applyAlignment="1">
      <alignment horizontal="center"/>
      <protection/>
    </xf>
    <xf numFmtId="0" fontId="10" fillId="0" borderId="0" xfId="42" applyFont="1" applyAlignment="1" applyProtection="1">
      <alignment/>
      <protection/>
    </xf>
    <xf numFmtId="0" fontId="10" fillId="0" borderId="0" xfId="42" applyFont="1" applyAlignment="1">
      <alignment/>
      <protection/>
    </xf>
    <xf numFmtId="0" fontId="10" fillId="0" borderId="0" xfId="42" applyFont="1" applyAlignment="1" applyProtection="1">
      <alignment/>
      <protection locked="0"/>
    </xf>
    <xf numFmtId="0" fontId="9" fillId="0" borderId="0" xfId="46" applyFont="1">
      <alignment/>
      <protection/>
    </xf>
    <xf numFmtId="0" fontId="9" fillId="0" borderId="0" xfId="46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6" applyFont="1" applyAlignment="1" applyProtection="1">
      <alignment wrapText="1"/>
      <protection locked="0"/>
    </xf>
    <xf numFmtId="49" fontId="10" fillId="0" borderId="0" xfId="46" applyNumberFormat="1" applyFont="1" applyAlignment="1" applyProtection="1">
      <alignment horizontal="center" wrapText="1"/>
      <protection locked="0"/>
    </xf>
    <xf numFmtId="0" fontId="10" fillId="0" borderId="0" xfId="46" applyFont="1" applyProtection="1">
      <alignment/>
      <protection locked="0"/>
    </xf>
    <xf numFmtId="0" fontId="10" fillId="0" borderId="0" xfId="46" applyFont="1" applyAlignment="1">
      <alignment wrapText="1"/>
      <protection/>
    </xf>
    <xf numFmtId="49" fontId="10" fillId="0" borderId="0" xfId="46" applyNumberFormat="1" applyFont="1" applyAlignment="1">
      <alignment horizontal="center" wrapText="1"/>
      <protection/>
    </xf>
    <xf numFmtId="0" fontId="8" fillId="0" borderId="0" xfId="43" applyFont="1" applyFill="1" applyAlignment="1" applyProtection="1">
      <alignment vertical="top"/>
      <protection/>
    </xf>
    <xf numFmtId="0" fontId="8" fillId="0" borderId="0" xfId="43" applyFont="1" applyFill="1" applyAlignment="1" applyProtection="1">
      <alignment horizontal="right" vertical="top" wrapText="1"/>
      <protection/>
    </xf>
    <xf numFmtId="0" fontId="10" fillId="0" borderId="0" xfId="44" applyFont="1" applyFill="1" applyAlignment="1" applyProtection="1">
      <alignment wrapText="1"/>
      <protection/>
    </xf>
    <xf numFmtId="0" fontId="10" fillId="0" borderId="0" xfId="45" applyFont="1" applyProtection="1">
      <alignment/>
      <protection/>
    </xf>
    <xf numFmtId="0" fontId="10" fillId="0" borderId="0" xfId="45" applyFont="1">
      <alignment/>
      <protection/>
    </xf>
    <xf numFmtId="0" fontId="4" fillId="0" borderId="0" xfId="45" applyFont="1" applyAlignment="1" applyProtection="1">
      <alignment horizontal="left" wrapText="1"/>
      <protection/>
    </xf>
    <xf numFmtId="0" fontId="9" fillId="0" borderId="0" xfId="45" applyFont="1" applyAlignment="1" applyProtection="1">
      <alignment horizontal="right"/>
      <protection/>
    </xf>
    <xf numFmtId="0" fontId="10" fillId="0" borderId="10" xfId="45" applyFont="1" applyBorder="1" applyProtection="1">
      <alignment/>
      <protection/>
    </xf>
    <xf numFmtId="49" fontId="10" fillId="0" borderId="10" xfId="45" applyNumberFormat="1" applyFont="1" applyBorder="1" applyAlignment="1" applyProtection="1">
      <alignment horizontal="center" wrapText="1"/>
      <protection/>
    </xf>
    <xf numFmtId="1" fontId="10" fillId="34" borderId="10" xfId="45" applyNumberFormat="1" applyFont="1" applyFill="1" applyBorder="1" applyProtection="1">
      <alignment/>
      <protection locked="0"/>
    </xf>
    <xf numFmtId="49" fontId="11" fillId="0" borderId="10" xfId="45" applyNumberFormat="1" applyFont="1" applyBorder="1" applyAlignment="1" applyProtection="1">
      <alignment horizontal="center" wrapText="1"/>
      <protection/>
    </xf>
    <xf numFmtId="0" fontId="10" fillId="0" borderId="10" xfId="45" applyFont="1" applyBorder="1" applyAlignment="1" applyProtection="1">
      <alignment horizontal="center" wrapText="1"/>
      <protection/>
    </xf>
    <xf numFmtId="1" fontId="10" fillId="0" borderId="10" xfId="45" applyNumberFormat="1" applyFont="1" applyBorder="1" applyProtection="1">
      <alignment/>
      <protection/>
    </xf>
    <xf numFmtId="0" fontId="11" fillId="0" borderId="10" xfId="45" applyFont="1" applyBorder="1" applyAlignment="1" applyProtection="1">
      <alignment horizontal="center" wrapText="1"/>
      <protection/>
    </xf>
    <xf numFmtId="1" fontId="10" fillId="36" borderId="10" xfId="45" applyNumberFormat="1" applyFont="1" applyFill="1" applyBorder="1" applyProtection="1">
      <alignment/>
      <protection locked="0"/>
    </xf>
    <xf numFmtId="0" fontId="11" fillId="0" borderId="10" xfId="45" applyFont="1" applyBorder="1" applyAlignment="1" applyProtection="1">
      <alignment horizontal="left" vertical="center" wrapText="1"/>
      <protection/>
    </xf>
    <xf numFmtId="0" fontId="10" fillId="0" borderId="10" xfId="45" applyFont="1" applyBorder="1" applyAlignment="1" applyProtection="1">
      <alignment horizontal="centerContinuous" wrapText="1"/>
      <protection/>
    </xf>
    <xf numFmtId="49" fontId="9" fillId="0" borderId="10" xfId="45" applyNumberFormat="1" applyFont="1" applyBorder="1" applyAlignment="1" applyProtection="1">
      <alignment horizontal="centerContinuous" wrapText="1"/>
      <protection/>
    </xf>
    <xf numFmtId="3" fontId="10" fillId="0" borderId="10" xfId="45" applyNumberFormat="1" applyFont="1" applyFill="1" applyBorder="1" applyProtection="1">
      <alignment/>
      <protection/>
    </xf>
    <xf numFmtId="0" fontId="10" fillId="0" borderId="0" xfId="45" applyFont="1" applyBorder="1" applyAlignment="1" applyProtection="1">
      <alignment wrapText="1"/>
      <protection locked="0"/>
    </xf>
    <xf numFmtId="0" fontId="18" fillId="0" borderId="0" xfId="45" applyFont="1" applyBorder="1" applyAlignment="1">
      <alignment vertical="center" wrapText="1"/>
      <protection/>
    </xf>
    <xf numFmtId="0" fontId="18" fillId="0" borderId="0" xfId="45" applyFont="1" applyBorder="1" applyAlignment="1" applyProtection="1">
      <alignment vertical="center" wrapText="1"/>
      <protection locked="0"/>
    </xf>
    <xf numFmtId="1" fontId="10" fillId="0" borderId="0" xfId="45" applyNumberFormat="1" applyFont="1" applyProtection="1">
      <alignment/>
      <protection locked="0"/>
    </xf>
    <xf numFmtId="0" fontId="10" fillId="0" borderId="0" xfId="45" applyFont="1" applyBorder="1" applyAlignment="1">
      <alignment wrapText="1"/>
      <protection/>
    </xf>
    <xf numFmtId="1" fontId="10" fillId="0" borderId="0" xfId="45" applyNumberFormat="1" applyFont="1" applyBorder="1">
      <alignment/>
      <protection/>
    </xf>
    <xf numFmtId="1" fontId="10" fillId="0" borderId="0" xfId="45" applyNumberFormat="1" applyFont="1">
      <alignment/>
      <protection/>
    </xf>
    <xf numFmtId="0" fontId="10" fillId="0" borderId="0" xfId="45" applyFont="1" applyBorder="1">
      <alignment/>
      <protection/>
    </xf>
    <xf numFmtId="0" fontId="10" fillId="0" borderId="0" xfId="45" applyFont="1" applyAlignment="1">
      <alignment wrapText="1"/>
      <protection/>
    </xf>
    <xf numFmtId="0" fontId="8" fillId="0" borderId="0" xfId="43" applyFont="1" applyAlignment="1" applyProtection="1">
      <alignment horizontal="right" vertical="top" wrapText="1"/>
      <protection locked="0"/>
    </xf>
    <xf numFmtId="0" fontId="8" fillId="0" borderId="0" xfId="43" applyFont="1" applyAlignment="1" applyProtection="1">
      <alignment horizontal="right" vertical="top"/>
      <protection locked="0"/>
    </xf>
    <xf numFmtId="49" fontId="19" fillId="0" borderId="10" xfId="45" applyNumberFormat="1" applyFont="1" applyBorder="1" applyAlignment="1" applyProtection="1">
      <alignment horizontal="centerContinuous" wrapText="1"/>
      <protection/>
    </xf>
    <xf numFmtId="1" fontId="10" fillId="35" borderId="10" xfId="41" applyNumberFormat="1" applyFont="1" applyFill="1" applyBorder="1" applyAlignment="1" applyProtection="1">
      <alignment vertical="center" wrapText="1"/>
      <protection locked="0"/>
    </xf>
    <xf numFmtId="0" fontId="20" fillId="0" borderId="0" xfId="42" applyFont="1" applyProtection="1">
      <alignment/>
      <protection/>
    </xf>
    <xf numFmtId="0" fontId="20" fillId="0" borderId="0" xfId="42" applyFont="1">
      <alignment/>
      <protection/>
    </xf>
    <xf numFmtId="14" fontId="4" fillId="0" borderId="0" xfId="43" applyNumberFormat="1" applyFont="1" applyAlignment="1" applyProtection="1">
      <alignment vertical="top" wrapText="1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44" applyNumberFormat="1" applyFont="1" applyAlignment="1" applyProtection="1">
      <alignment wrapText="1"/>
      <protection locked="0"/>
    </xf>
    <xf numFmtId="9" fontId="4" fillId="34" borderId="10" xfId="73" applyFont="1" applyFill="1" applyBorder="1" applyAlignment="1" applyProtection="1">
      <alignment horizontal="right" vertical="center" wrapText="1"/>
      <protection locked="0"/>
    </xf>
    <xf numFmtId="9" fontId="4" fillId="0" borderId="10" xfId="73" applyFont="1" applyBorder="1" applyAlignment="1">
      <alignment horizontal="right" vertical="center" wrapText="1"/>
    </xf>
    <xf numFmtId="10" fontId="4" fillId="34" borderId="10" xfId="73" applyNumberFormat="1" applyFont="1" applyFill="1" applyBorder="1" applyAlignment="1" applyProtection="1">
      <alignment horizontal="right" vertical="center" wrapText="1"/>
      <protection locked="0"/>
    </xf>
    <xf numFmtId="0" fontId="21" fillId="0" borderId="18" xfId="47" applyFont="1" applyBorder="1" applyAlignment="1" applyProtection="1">
      <alignment horizontal="centerContinuous" vertical="center" wrapText="1"/>
      <protection/>
    </xf>
    <xf numFmtId="0" fontId="22" fillId="0" borderId="24" xfId="47" applyFont="1" applyBorder="1" applyAlignment="1" applyProtection="1">
      <alignment horizontal="centerContinuous" vertical="center" wrapText="1"/>
      <protection/>
    </xf>
    <xf numFmtId="0" fontId="67" fillId="0" borderId="19" xfId="47" applyFont="1" applyBorder="1" applyAlignment="1" applyProtection="1">
      <alignment horizontal="centerContinuous" vertical="center" wrapText="1"/>
      <protection/>
    </xf>
    <xf numFmtId="0" fontId="22" fillId="0" borderId="39" xfId="47" applyFont="1" applyBorder="1" applyAlignment="1" applyProtection="1">
      <alignment horizontal="centerContinuous" vertical="center" wrapText="1"/>
      <protection/>
    </xf>
    <xf numFmtId="49" fontId="67" fillId="0" borderId="19" xfId="47" applyNumberFormat="1" applyFont="1" applyFill="1" applyBorder="1" applyAlignment="1" applyProtection="1">
      <alignment horizontal="centerContinuous"/>
      <protection/>
    </xf>
    <xf numFmtId="0" fontId="68" fillId="0" borderId="39" xfId="47" applyFont="1" applyFill="1" applyBorder="1" applyAlignment="1" applyProtection="1">
      <alignment horizontal="centerContinuous" vertical="center" wrapText="1"/>
      <protection/>
    </xf>
    <xf numFmtId="0" fontId="21" fillId="0" borderId="19" xfId="47" applyFont="1" applyBorder="1" applyAlignment="1" applyProtection="1">
      <alignment horizontal="centerContinuous" vertical="center" wrapText="1"/>
      <protection/>
    </xf>
    <xf numFmtId="0" fontId="21" fillId="0" borderId="23" xfId="47" applyFont="1" applyFill="1" applyBorder="1" applyAlignment="1" applyProtection="1">
      <alignment horizontal="centerContinuous" vertical="center" wrapText="1"/>
      <protection/>
    </xf>
    <xf numFmtId="0" fontId="22" fillId="0" borderId="25" xfId="47" applyFont="1" applyFill="1" applyBorder="1" applyAlignment="1" applyProtection="1">
      <alignment horizontal="centerContinuous" vertical="center" wrapText="1"/>
      <protection/>
    </xf>
    <xf numFmtId="0" fontId="69" fillId="0" borderId="0" xfId="37" applyFont="1" applyProtection="1">
      <alignment/>
      <protection/>
    </xf>
    <xf numFmtId="0" fontId="21" fillId="0" borderId="23" xfId="47" applyFont="1" applyBorder="1" applyAlignment="1" applyProtection="1">
      <alignment horizontal="centerContinuous" vertical="center"/>
      <protection/>
    </xf>
    <xf numFmtId="0" fontId="21" fillId="0" borderId="25" xfId="47" applyFont="1" applyBorder="1" applyAlignment="1" applyProtection="1">
      <alignment horizontal="centerContinuous" vertical="center"/>
      <protection/>
    </xf>
    <xf numFmtId="0" fontId="22" fillId="0" borderId="10" xfId="47" applyFont="1" applyBorder="1" applyAlignment="1" applyProtection="1">
      <alignment horizontal="right" vertical="center" wrapText="1"/>
      <protection/>
    </xf>
    <xf numFmtId="14" fontId="22" fillId="34" borderId="10" xfId="47" applyNumberFormat="1" applyFont="1" applyFill="1" applyBorder="1" applyAlignment="1" applyProtection="1">
      <alignment horizontal="left" vertical="center" wrapText="1"/>
      <protection locked="0"/>
    </xf>
    <xf numFmtId="0" fontId="22" fillId="0" borderId="18" xfId="47" applyFont="1" applyBorder="1" applyAlignment="1" applyProtection="1">
      <alignment horizontal="left" vertical="center" wrapText="1"/>
      <protection/>
    </xf>
    <xf numFmtId="0" fontId="22" fillId="0" borderId="24" xfId="47" applyFont="1" applyBorder="1" applyAlignment="1" applyProtection="1">
      <alignment horizontal="left" vertical="center" wrapText="1"/>
      <protection/>
    </xf>
    <xf numFmtId="0" fontId="21" fillId="0" borderId="23" xfId="47" applyFont="1" applyBorder="1" applyAlignment="1" applyProtection="1">
      <alignment horizontal="centerContinuous" vertical="center" wrapText="1"/>
      <protection/>
    </xf>
    <xf numFmtId="0" fontId="22" fillId="0" borderId="25" xfId="47" applyFont="1" applyBorder="1" applyAlignment="1" applyProtection="1">
      <alignment horizontal="centerContinuous" vertical="center" wrapText="1"/>
      <protection/>
    </xf>
    <xf numFmtId="49" fontId="22" fillId="34" borderId="10" xfId="47" applyNumberFormat="1" applyFont="1" applyFill="1" applyBorder="1" applyAlignment="1" applyProtection="1">
      <alignment horizontal="left" vertical="center" wrapText="1"/>
      <protection locked="0"/>
    </xf>
    <xf numFmtId="0" fontId="22" fillId="0" borderId="10" xfId="47" applyFont="1" applyBorder="1" applyAlignment="1" applyProtection="1">
      <alignment horizontal="right"/>
      <protection/>
    </xf>
    <xf numFmtId="49" fontId="22" fillId="34" borderId="10" xfId="47" applyNumberFormat="1" applyFont="1" applyFill="1" applyBorder="1" applyProtection="1">
      <alignment/>
      <protection locked="0"/>
    </xf>
    <xf numFmtId="49" fontId="70" fillId="34" borderId="16" xfId="35" applyNumberFormat="1" applyFont="1" applyFill="1" applyBorder="1" applyAlignment="1" applyProtection="1">
      <alignment/>
      <protection locked="0"/>
    </xf>
    <xf numFmtId="49" fontId="70" fillId="34" borderId="24" xfId="35" applyNumberFormat="1" applyFont="1" applyFill="1" applyBorder="1" applyAlignment="1" applyProtection="1">
      <alignment/>
      <protection locked="0"/>
    </xf>
    <xf numFmtId="49" fontId="70" fillId="34" borderId="10" xfId="35" applyNumberFormat="1" applyFont="1" applyFill="1" applyBorder="1" applyAlignment="1" applyProtection="1">
      <alignment/>
      <protection locked="0"/>
    </xf>
    <xf numFmtId="0" fontId="22" fillId="0" borderId="0" xfId="36" applyFont="1" applyProtection="1">
      <alignment/>
      <protection/>
    </xf>
    <xf numFmtId="0" fontId="24" fillId="0" borderId="0" xfId="36" applyFont="1" applyFill="1" applyProtection="1">
      <alignment/>
      <protection/>
    </xf>
    <xf numFmtId="0" fontId="22" fillId="0" borderId="0" xfId="36" applyFont="1" applyFill="1" applyProtection="1">
      <alignment/>
      <protection/>
    </xf>
    <xf numFmtId="1" fontId="6" fillId="0" borderId="0" xfId="43" applyNumberFormat="1" applyFont="1" applyBorder="1" applyAlignment="1" applyProtection="1">
      <alignment vertical="top" wrapText="1"/>
      <protection locked="0"/>
    </xf>
    <xf numFmtId="1" fontId="8" fillId="0" borderId="0" xfId="43" applyNumberFormat="1" applyFont="1" applyAlignment="1" applyProtection="1">
      <alignment vertical="top" wrapText="1"/>
      <protection locked="0"/>
    </xf>
    <xf numFmtId="0" fontId="6" fillId="0" borderId="0" xfId="43" applyFont="1" applyBorder="1" applyAlignment="1" applyProtection="1">
      <alignment horizontal="left" vertical="top" wrapText="1"/>
      <protection locked="0"/>
    </xf>
    <xf numFmtId="0" fontId="6" fillId="0" borderId="0" xfId="43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43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43" applyFont="1" applyBorder="1" applyAlignment="1" applyProtection="1">
      <alignment horizontal="left" vertical="top" wrapText="1"/>
      <protection locked="0"/>
    </xf>
    <xf numFmtId="0" fontId="8" fillId="0" borderId="0" xfId="43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5" applyNumberFormat="1" applyFont="1" applyBorder="1" applyAlignment="1" applyProtection="1">
      <alignment horizontal="left"/>
      <protection locked="0"/>
    </xf>
    <xf numFmtId="0" fontId="9" fillId="0" borderId="0" xfId="43" applyFont="1" applyBorder="1" applyAlignment="1" applyProtection="1">
      <alignment horizontal="left" vertical="top" wrapText="1"/>
      <protection/>
    </xf>
    <xf numFmtId="165" fontId="10" fillId="0" borderId="32" xfId="43" applyNumberFormat="1" applyFont="1" applyBorder="1" applyAlignment="1" applyProtection="1">
      <alignment horizontal="left" vertical="top" wrapText="1"/>
      <protection/>
    </xf>
    <xf numFmtId="0" fontId="4" fillId="0" borderId="0" xfId="45" applyFont="1" applyAlignment="1" applyProtection="1">
      <alignment horizontal="left" wrapText="1"/>
      <protection/>
    </xf>
    <xf numFmtId="0" fontId="9" fillId="0" borderId="0" xfId="45" applyFont="1" applyBorder="1" applyAlignment="1" applyProtection="1">
      <alignment horizontal="left" wrapText="1"/>
      <protection/>
    </xf>
    <xf numFmtId="0" fontId="10" fillId="0" borderId="0" xfId="44" applyFont="1" applyFill="1" applyAlignment="1" applyProtection="1">
      <alignment horizontal="center" wrapText="1"/>
      <protection locked="0"/>
    </xf>
    <xf numFmtId="0" fontId="9" fillId="0" borderId="0" xfId="46" applyFont="1" applyAlignment="1">
      <alignment horizontal="center" wrapText="1"/>
      <protection/>
    </xf>
    <xf numFmtId="0" fontId="9" fillId="0" borderId="0" xfId="46" applyFont="1" applyBorder="1" applyAlignment="1" applyProtection="1">
      <alignment horizontal="left"/>
      <protection locked="0"/>
    </xf>
    <xf numFmtId="0" fontId="9" fillId="0" borderId="0" xfId="43" applyNumberFormat="1" applyFont="1" applyBorder="1" applyAlignment="1" applyProtection="1">
      <alignment horizontal="left" vertical="top" wrapText="1"/>
      <protection/>
    </xf>
    <xf numFmtId="0" fontId="9" fillId="0" borderId="0" xfId="46" applyFont="1" applyBorder="1" applyAlignment="1" applyProtection="1">
      <alignment horizontal="left" vertical="center" wrapText="1"/>
      <protection locked="0"/>
    </xf>
    <xf numFmtId="0" fontId="8" fillId="0" borderId="0" xfId="46" applyFont="1" applyAlignment="1" applyProtection="1">
      <alignment horizontal="left"/>
      <protection/>
    </xf>
    <xf numFmtId="0" fontId="8" fillId="0" borderId="0" xfId="46" applyFont="1" applyAlignment="1" applyProtection="1">
      <alignment horizontal="right"/>
      <protection/>
    </xf>
    <xf numFmtId="166" fontId="9" fillId="0" borderId="32" xfId="43" applyNumberFormat="1" applyFont="1" applyBorder="1" applyAlignment="1" applyProtection="1">
      <alignment horizontal="left" vertical="top" wrapText="1"/>
      <protection/>
    </xf>
    <xf numFmtId="0" fontId="9" fillId="0" borderId="18" xfId="41" applyFont="1" applyBorder="1" applyAlignment="1" applyProtection="1">
      <alignment horizontal="center" vertical="center" wrapText="1"/>
      <protection/>
    </xf>
    <xf numFmtId="0" fontId="9" fillId="0" borderId="24" xfId="41" applyFont="1" applyBorder="1" applyAlignment="1" applyProtection="1">
      <alignment horizontal="center" vertical="center" wrapText="1"/>
      <protection/>
    </xf>
    <xf numFmtId="0" fontId="9" fillId="0" borderId="23" xfId="41" applyFont="1" applyBorder="1" applyAlignment="1" applyProtection="1">
      <alignment horizontal="center" vertical="center" wrapText="1"/>
      <protection/>
    </xf>
    <xf numFmtId="0" fontId="9" fillId="0" borderId="25" xfId="4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left"/>
      <protection/>
    </xf>
    <xf numFmtId="0" fontId="10" fillId="0" borderId="0" xfId="41" applyFont="1" applyAlignment="1" applyProtection="1">
      <alignment horizontal="left"/>
      <protection/>
    </xf>
    <xf numFmtId="0" fontId="9" fillId="0" borderId="0" xfId="41" applyFont="1" applyAlignment="1" applyProtection="1">
      <alignment horizontal="left"/>
      <protection/>
    </xf>
    <xf numFmtId="166" fontId="9" fillId="0" borderId="0" xfId="41" applyNumberFormat="1" applyFont="1" applyBorder="1" applyAlignment="1" applyProtection="1">
      <alignment horizontal="left" vertical="justify" wrapText="1"/>
      <protection/>
    </xf>
    <xf numFmtId="49" fontId="9" fillId="0" borderId="13" xfId="41" applyNumberFormat="1" applyFont="1" applyBorder="1" applyAlignment="1" applyProtection="1">
      <alignment horizontal="center" vertical="center" wrapText="1"/>
      <protection/>
    </xf>
    <xf numFmtId="49" fontId="9" fillId="0" borderId="11" xfId="41" applyNumberFormat="1" applyFont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horizontal="right" vertical="justify" wrapText="1"/>
      <protection/>
    </xf>
    <xf numFmtId="0" fontId="9" fillId="0" borderId="0" xfId="41" applyFont="1" applyAlignment="1" applyProtection="1">
      <alignment horizontal="left"/>
      <protection locked="0"/>
    </xf>
    <xf numFmtId="0" fontId="10" fillId="0" borderId="0" xfId="41" applyFont="1" applyAlignment="1" applyProtection="1">
      <alignment horizontal="left"/>
      <protection locked="0"/>
    </xf>
    <xf numFmtId="0" fontId="9" fillId="0" borderId="13" xfId="41" applyFont="1" applyBorder="1" applyAlignment="1" applyProtection="1">
      <alignment horizontal="center" vertical="center" wrapText="1"/>
      <protection/>
    </xf>
    <xf numFmtId="0" fontId="9" fillId="0" borderId="11" xfId="41" applyFont="1" applyBorder="1" applyAlignment="1" applyProtection="1">
      <alignment horizontal="center" vertical="center" wrapText="1"/>
      <protection/>
    </xf>
    <xf numFmtId="0" fontId="10" fillId="0" borderId="0" xfId="41" applyFont="1" applyAlignment="1" applyProtection="1">
      <alignment horizontal="center"/>
      <protection locked="0"/>
    </xf>
    <xf numFmtId="0" fontId="9" fillId="0" borderId="0" xfId="38" applyFont="1" applyAlignment="1" applyProtection="1">
      <alignment horizontal="left" vertical="center" wrapText="1"/>
      <protection locked="0"/>
    </xf>
    <xf numFmtId="0" fontId="9" fillId="0" borderId="0" xfId="38" applyFont="1" applyBorder="1" applyAlignment="1" applyProtection="1">
      <alignment horizontal="left" vertical="center" wrapText="1"/>
      <protection locked="0"/>
    </xf>
    <xf numFmtId="49" fontId="10" fillId="0" borderId="0" xfId="38" applyNumberFormat="1" applyFont="1" applyBorder="1" applyAlignment="1" applyProtection="1">
      <alignment horizontal="left" vertical="center" wrapText="1"/>
      <protection/>
    </xf>
    <xf numFmtId="49" fontId="9" fillId="0" borderId="0" xfId="38" applyNumberFormat="1" applyFont="1" applyAlignment="1" applyProtection="1">
      <alignment horizontal="center" vertical="center" wrapText="1"/>
      <protection/>
    </xf>
    <xf numFmtId="166" fontId="9" fillId="0" borderId="0" xfId="41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41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41" applyNumberFormat="1" applyFont="1" applyAlignment="1" applyProtection="1">
      <alignment horizontal="left" vertical="justify"/>
      <protection/>
    </xf>
    <xf numFmtId="166" fontId="9" fillId="0" borderId="0" xfId="41" applyNumberFormat="1" applyFont="1" applyBorder="1" applyAlignment="1" applyProtection="1">
      <alignment horizontal="left" vertical="justify"/>
      <protection/>
    </xf>
    <xf numFmtId="1" fontId="9" fillId="0" borderId="0" xfId="39" applyNumberFormat="1" applyFont="1" applyAlignment="1" applyProtection="1">
      <alignment horizontal="center" vertical="center" wrapText="1"/>
      <protection locked="0"/>
    </xf>
    <xf numFmtId="49" fontId="9" fillId="0" borderId="0" xfId="39" applyNumberFormat="1" applyFont="1" applyAlignment="1" applyProtection="1">
      <alignment horizontal="center" vertical="center" wrapText="1"/>
      <protection locked="0"/>
    </xf>
    <xf numFmtId="0" fontId="8" fillId="0" borderId="0" xfId="43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41" applyFont="1" applyAlignment="1" applyProtection="1">
      <alignment horizontal="right"/>
      <protection/>
    </xf>
    <xf numFmtId="0" fontId="3" fillId="0" borderId="0" xfId="40" applyNumberFormat="1" applyFont="1" applyAlignment="1" applyProtection="1">
      <alignment horizontal="left" vertical="center" wrapText="1"/>
      <protection locked="0"/>
    </xf>
    <xf numFmtId="166" fontId="3" fillId="0" borderId="0" xfId="41" applyNumberFormat="1" applyFont="1" applyAlignment="1" applyProtection="1">
      <alignment horizontal="left" vertical="justify"/>
      <protection locked="0"/>
    </xf>
    <xf numFmtId="0" fontId="3" fillId="0" borderId="0" xfId="40" applyFont="1" applyAlignment="1" applyProtection="1">
      <alignment horizontal="left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Hyperlink 2" xfId="35"/>
    <cellStyle name="Normal 16" xfId="36"/>
    <cellStyle name="Normal 2" xfId="37"/>
    <cellStyle name="Normal_El. 7.3" xfId="38"/>
    <cellStyle name="Normal_El. 7.4" xfId="39"/>
    <cellStyle name="Normal_El. 7.5" xfId="40"/>
    <cellStyle name="Normal_El.7.2" xfId="41"/>
    <cellStyle name="Normal_Spravki_kod" xfId="42"/>
    <cellStyle name="Normal_Баланс" xfId="43"/>
    <cellStyle name="Normal_Отч.парич.поток" xfId="44"/>
    <cellStyle name="Normal_Отч.прих-разх" xfId="45"/>
    <cellStyle name="Normal_Отч.собств.кап." xfId="46"/>
    <cellStyle name="Normal_Финансов отчет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Percent" xfId="73"/>
    <cellStyle name="Свързана клетка" xfId="74"/>
    <cellStyle name="Сума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.yaninska\Desktop\tr\MelInvestHoldingAD31122016Mejdinni_F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Контроли"/>
      <sheetName val="Показатели"/>
      <sheetName val="Danni"/>
      <sheetName val="Nomenklaturi"/>
    </sheetNames>
    <sheetDataSet>
      <sheetData sheetId="9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zoomScaleSheetLayoutView="90" zoomScalePageLayoutView="0" workbookViewId="0" topLeftCell="A7">
      <selection activeCell="B12" sqref="B12"/>
    </sheetView>
  </sheetViews>
  <sheetFormatPr defaultColWidth="9.00390625" defaultRowHeight="12.75"/>
  <cols>
    <col min="1" max="1" width="43.75390625" style="0" bestFit="1" customWidth="1"/>
    <col min="2" max="2" width="46.25390625" style="0" customWidth="1"/>
  </cols>
  <sheetData>
    <row r="1" spans="1:2" ht="15.75">
      <c r="A1" s="578" t="s">
        <v>884</v>
      </c>
      <c r="B1" s="579"/>
    </row>
    <row r="2" spans="1:2" ht="15.75">
      <c r="A2" s="580" t="s">
        <v>920</v>
      </c>
      <c r="B2" s="581"/>
    </row>
    <row r="3" spans="1:2" ht="15.75">
      <c r="A3" s="582" t="s">
        <v>921</v>
      </c>
      <c r="B3" s="583"/>
    </row>
    <row r="4" spans="1:2" ht="15.75">
      <c r="A4" s="584" t="s">
        <v>922</v>
      </c>
      <c r="B4" s="581"/>
    </row>
    <row r="5" spans="1:2" ht="47.25">
      <c r="A5" s="585" t="s">
        <v>885</v>
      </c>
      <c r="B5" s="586"/>
    </row>
    <row r="6" spans="1:2" ht="15.75">
      <c r="A6" s="587"/>
      <c r="B6" s="587"/>
    </row>
    <row r="7" spans="1:2" ht="15.75">
      <c r="A7" s="578"/>
      <c r="B7" s="579"/>
    </row>
    <row r="8" spans="1:2" ht="15.75">
      <c r="A8" s="588" t="s">
        <v>886</v>
      </c>
      <c r="B8" s="589"/>
    </row>
    <row r="9" spans="1:2" ht="15.75">
      <c r="A9" s="590" t="s">
        <v>887</v>
      </c>
      <c r="B9" s="591">
        <v>43101</v>
      </c>
    </row>
    <row r="10" spans="1:2" ht="15.75">
      <c r="A10" s="590" t="s">
        <v>888</v>
      </c>
      <c r="B10" s="591">
        <v>43190</v>
      </c>
    </row>
    <row r="11" spans="1:2" ht="15.75">
      <c r="A11" s="590" t="s">
        <v>889</v>
      </c>
      <c r="B11" s="591">
        <v>43250</v>
      </c>
    </row>
    <row r="12" spans="1:2" ht="15.75">
      <c r="A12" s="592"/>
      <c r="B12" s="593"/>
    </row>
    <row r="13" spans="1:2" ht="15.75">
      <c r="A13" s="594" t="s">
        <v>890</v>
      </c>
      <c r="B13" s="595"/>
    </row>
    <row r="14" spans="1:2" ht="15.75">
      <c r="A14" s="590" t="s">
        <v>891</v>
      </c>
      <c r="B14" s="596" t="s">
        <v>892</v>
      </c>
    </row>
    <row r="15" spans="1:2" ht="15.75">
      <c r="A15" s="597" t="s">
        <v>893</v>
      </c>
      <c r="B15" s="598" t="s">
        <v>894</v>
      </c>
    </row>
    <row r="16" spans="1:2" ht="15.75">
      <c r="A16" s="590" t="s">
        <v>895</v>
      </c>
      <c r="B16" s="596" t="s">
        <v>896</v>
      </c>
    </row>
    <row r="17" spans="1:2" ht="15.75">
      <c r="A17" s="590" t="s">
        <v>897</v>
      </c>
      <c r="B17" s="596" t="s">
        <v>898</v>
      </c>
    </row>
    <row r="18" spans="1:2" ht="15.75">
      <c r="A18" s="590"/>
      <c r="B18" s="596" t="s">
        <v>899</v>
      </c>
    </row>
    <row r="19" spans="1:2" ht="15.75" customHeight="1">
      <c r="A19" s="590" t="s">
        <v>900</v>
      </c>
      <c r="B19" s="596" t="s">
        <v>901</v>
      </c>
    </row>
    <row r="20" spans="1:2" ht="15.75">
      <c r="A20" s="590" t="s">
        <v>902</v>
      </c>
      <c r="B20" s="596" t="s">
        <v>903</v>
      </c>
    </row>
    <row r="21" spans="1:2" ht="15.75">
      <c r="A21" s="590" t="s">
        <v>904</v>
      </c>
      <c r="B21" s="596" t="s">
        <v>903</v>
      </c>
    </row>
    <row r="22" spans="1:2" ht="15.75">
      <c r="A22" s="597" t="s">
        <v>905</v>
      </c>
      <c r="B22" s="598" t="s">
        <v>906</v>
      </c>
    </row>
    <row r="23" spans="1:2" ht="15.75">
      <c r="A23" s="597" t="s">
        <v>907</v>
      </c>
      <c r="B23" s="598" t="s">
        <v>908</v>
      </c>
    </row>
    <row r="24" spans="1:2" ht="15.75">
      <c r="A24" s="597" t="s">
        <v>909</v>
      </c>
      <c r="B24" s="599" t="s">
        <v>910</v>
      </c>
    </row>
    <row r="25" spans="1:2" ht="15.75">
      <c r="A25" s="597" t="s">
        <v>911</v>
      </c>
      <c r="B25" s="600" t="s">
        <v>912</v>
      </c>
    </row>
    <row r="26" spans="1:2" ht="15.75">
      <c r="A26" s="590" t="s">
        <v>913</v>
      </c>
      <c r="B26" s="601" t="s">
        <v>914</v>
      </c>
    </row>
    <row r="27" spans="1:2" ht="15.75">
      <c r="A27" s="597" t="s">
        <v>915</v>
      </c>
      <c r="B27" s="598" t="s">
        <v>916</v>
      </c>
    </row>
    <row r="28" spans="1:2" ht="15.75">
      <c r="A28" s="597" t="s">
        <v>917</v>
      </c>
      <c r="B28" s="598" t="s">
        <v>918</v>
      </c>
    </row>
    <row r="29" spans="1:2" ht="15.75">
      <c r="A29" s="602"/>
      <c r="B29" s="602"/>
    </row>
    <row r="30" spans="1:2" ht="15.75">
      <c r="A30" s="603" t="s">
        <v>919</v>
      </c>
      <c r="B30" s="604"/>
    </row>
  </sheetData>
  <sheetProtection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186"/>
  <sheetViews>
    <sheetView tabSelected="1" zoomScaleSheetLayoutView="90" zoomScalePageLayoutView="0" workbookViewId="0" topLeftCell="F64">
      <selection activeCell="C74" sqref="C7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607" t="s">
        <v>0</v>
      </c>
      <c r="B1" s="212"/>
      <c r="C1" s="213"/>
      <c r="D1" s="213"/>
      <c r="E1" s="213"/>
      <c r="F1" s="170"/>
      <c r="G1" s="171"/>
      <c r="H1" s="172"/>
    </row>
    <row r="2" spans="1:8" ht="15">
      <c r="A2" s="214"/>
      <c r="B2" s="214"/>
      <c r="C2" s="215"/>
      <c r="D2" s="215"/>
      <c r="E2" s="215"/>
      <c r="F2" s="170"/>
      <c r="G2" s="171"/>
      <c r="H2" s="172"/>
    </row>
    <row r="3" spans="1:8" ht="15">
      <c r="A3" s="608" t="s">
        <v>1</v>
      </c>
      <c r="B3" s="609"/>
      <c r="C3" s="609"/>
      <c r="D3" s="609"/>
      <c r="E3" s="459" t="s">
        <v>863</v>
      </c>
      <c r="F3" s="216" t="s">
        <v>2</v>
      </c>
      <c r="G3" s="172"/>
      <c r="H3" s="172">
        <v>627519</v>
      </c>
    </row>
    <row r="4" spans="1:8" ht="15">
      <c r="A4" s="608" t="s">
        <v>3</v>
      </c>
      <c r="B4" s="614"/>
      <c r="C4" s="614"/>
      <c r="D4" s="614"/>
      <c r="E4" s="501" t="s">
        <v>865</v>
      </c>
      <c r="F4" s="610" t="s">
        <v>4</v>
      </c>
      <c r="G4" s="611"/>
      <c r="H4" s="458" t="s">
        <v>159</v>
      </c>
    </row>
    <row r="5" spans="1:8" ht="15">
      <c r="A5" s="608" t="s">
        <v>5</v>
      </c>
      <c r="B5" s="609"/>
      <c r="C5" s="609"/>
      <c r="D5" s="609"/>
      <c r="E5" s="502">
        <v>43190</v>
      </c>
      <c r="F5" s="170"/>
      <c r="G5" s="171"/>
      <c r="H5" s="218" t="s">
        <v>6</v>
      </c>
    </row>
    <row r="6" spans="1:8" ht="15.75" thickBot="1">
      <c r="A6" s="150"/>
      <c r="B6" s="150"/>
      <c r="C6" s="217"/>
      <c r="D6" s="218"/>
      <c r="E6" s="218"/>
      <c r="F6" s="170"/>
      <c r="G6" s="171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5" t="s">
        <v>16</v>
      </c>
      <c r="B9" s="228"/>
      <c r="C9" s="229"/>
      <c r="D9" s="230"/>
      <c r="E9" s="443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1">
        <v>51381</v>
      </c>
      <c r="D11" s="151">
        <v>51382</v>
      </c>
      <c r="E11" s="236" t="s">
        <v>22</v>
      </c>
      <c r="F11" s="241" t="s">
        <v>23</v>
      </c>
      <c r="G11" s="152">
        <v>227196</v>
      </c>
      <c r="H11" s="152">
        <v>227236</v>
      </c>
    </row>
    <row r="12" spans="1:8" ht="15">
      <c r="A12" s="234" t="s">
        <v>24</v>
      </c>
      <c r="B12" s="240" t="s">
        <v>25</v>
      </c>
      <c r="C12" s="151">
        <v>106158</v>
      </c>
      <c r="D12" s="151">
        <v>107231</v>
      </c>
      <c r="E12" s="236" t="s">
        <v>26</v>
      </c>
      <c r="F12" s="241" t="s">
        <v>27</v>
      </c>
      <c r="G12" s="153">
        <v>227196</v>
      </c>
      <c r="H12" s="153">
        <v>227236</v>
      </c>
    </row>
    <row r="13" spans="1:8" ht="15">
      <c r="A13" s="234" t="s">
        <v>28</v>
      </c>
      <c r="B13" s="240" t="s">
        <v>29</v>
      </c>
      <c r="C13" s="151">
        <v>63201</v>
      </c>
      <c r="D13" s="151">
        <v>64908</v>
      </c>
      <c r="E13" s="236" t="s">
        <v>30</v>
      </c>
      <c r="F13" s="241" t="s">
        <v>31</v>
      </c>
      <c r="G13" s="153">
        <v>0</v>
      </c>
      <c r="H13" s="153">
        <v>0</v>
      </c>
    </row>
    <row r="14" spans="1:8" ht="15">
      <c r="A14" s="234" t="s">
        <v>32</v>
      </c>
      <c r="B14" s="240" t="s">
        <v>33</v>
      </c>
      <c r="C14" s="151">
        <v>51256</v>
      </c>
      <c r="D14" s="151">
        <v>51488</v>
      </c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1">
        <v>69947</v>
      </c>
      <c r="D15" s="151">
        <v>70411</v>
      </c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1"/>
      <c r="D16" s="151"/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1">
        <v>41129</v>
      </c>
      <c r="D17" s="151">
        <v>37027</v>
      </c>
      <c r="E17" s="242" t="s">
        <v>46</v>
      </c>
      <c r="F17" s="244" t="s">
        <v>47</v>
      </c>
      <c r="G17" s="154">
        <f>G11+G14+G15+G16</f>
        <v>227196</v>
      </c>
      <c r="H17" s="154">
        <f>H11+H14+H15+H16</f>
        <v>227236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1">
        <f>614+36136</f>
        <v>36750</v>
      </c>
      <c r="D18" s="151">
        <v>40731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5">
        <f>SUM(C11:C18)</f>
        <v>419822</v>
      </c>
      <c r="D19" s="155">
        <f>SUM(D11:D18)</f>
        <v>423178</v>
      </c>
      <c r="E19" s="236" t="s">
        <v>53</v>
      </c>
      <c r="F19" s="241" t="s">
        <v>54</v>
      </c>
      <c r="G19" s="152">
        <v>247070</v>
      </c>
      <c r="H19" s="152">
        <v>247129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1">
        <v>409976</v>
      </c>
      <c r="D20" s="151">
        <v>405502</v>
      </c>
      <c r="E20" s="236" t="s">
        <v>57</v>
      </c>
      <c r="F20" s="241" t="s">
        <v>58</v>
      </c>
      <c r="G20" s="158">
        <f>17404+570</f>
        <v>17974</v>
      </c>
      <c r="H20" s="158">
        <v>17404</v>
      </c>
    </row>
    <row r="21" spans="1:18" ht="15">
      <c r="A21" s="234" t="s">
        <v>59</v>
      </c>
      <c r="B21" s="249" t="s">
        <v>60</v>
      </c>
      <c r="C21" s="151"/>
      <c r="D21" s="151"/>
      <c r="E21" s="250" t="s">
        <v>61</v>
      </c>
      <c r="F21" s="241" t="s">
        <v>62</v>
      </c>
      <c r="G21" s="156">
        <f>SUM(G22:G24)</f>
        <v>124385</v>
      </c>
      <c r="H21" s="156">
        <f>SUM(H22:H24)</f>
        <v>101040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5"/>
      <c r="E22" s="242" t="s">
        <v>64</v>
      </c>
      <c r="F22" s="241" t="s">
        <v>65</v>
      </c>
      <c r="G22" s="152">
        <v>121412</v>
      </c>
      <c r="H22" s="152">
        <v>98067</v>
      </c>
    </row>
    <row r="23" spans="1:13" ht="15">
      <c r="A23" s="234" t="s">
        <v>66</v>
      </c>
      <c r="B23" s="240" t="s">
        <v>67</v>
      </c>
      <c r="C23" s="151">
        <f>15914+2734+19577</f>
        <v>38225</v>
      </c>
      <c r="D23" s="151">
        <v>40516</v>
      </c>
      <c r="E23" s="252" t="s">
        <v>68</v>
      </c>
      <c r="F23" s="241" t="s">
        <v>69</v>
      </c>
      <c r="G23" s="152"/>
      <c r="H23" s="152"/>
      <c r="M23" s="157"/>
    </row>
    <row r="24" spans="1:8" ht="15">
      <c r="A24" s="234" t="s">
        <v>70</v>
      </c>
      <c r="B24" s="240" t="s">
        <v>71</v>
      </c>
      <c r="C24" s="151">
        <v>652</v>
      </c>
      <c r="D24" s="151">
        <v>750</v>
      </c>
      <c r="E24" s="236" t="s">
        <v>72</v>
      </c>
      <c r="F24" s="241" t="s">
        <v>73</v>
      </c>
      <c r="G24" s="152">
        <v>2973</v>
      </c>
      <c r="H24" s="152">
        <v>2973</v>
      </c>
    </row>
    <row r="25" spans="1:18" ht="15">
      <c r="A25" s="234" t="s">
        <v>74</v>
      </c>
      <c r="B25" s="240" t="s">
        <v>75</v>
      </c>
      <c r="C25" s="151">
        <f>1093+11642</f>
        <v>12735</v>
      </c>
      <c r="D25" s="151">
        <v>12718</v>
      </c>
      <c r="E25" s="252" t="s">
        <v>76</v>
      </c>
      <c r="F25" s="244" t="s">
        <v>77</v>
      </c>
      <c r="G25" s="154">
        <f>G19+G20+G21</f>
        <v>389429</v>
      </c>
      <c r="H25" s="154">
        <f>H19+H20+H21</f>
        <v>365573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1">
        <f>877+117280</f>
        <v>118157</v>
      </c>
      <c r="D26" s="151">
        <v>117757</v>
      </c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5">
        <f>SUM(C23:C26)</f>
        <v>169769</v>
      </c>
      <c r="D27" s="155">
        <f>SUM(D23:D26)</f>
        <v>171741</v>
      </c>
      <c r="E27" s="252" t="s">
        <v>83</v>
      </c>
      <c r="F27" s="241" t="s">
        <v>84</v>
      </c>
      <c r="G27" s="154">
        <f>SUM(G28:G30)</f>
        <v>752875</v>
      </c>
      <c r="H27" s="154">
        <f>SUM(H28:H30)</f>
        <v>735323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5"/>
      <c r="E28" s="236" t="s">
        <v>85</v>
      </c>
      <c r="F28" s="241" t="s">
        <v>86</v>
      </c>
      <c r="G28" s="152">
        <v>752875</v>
      </c>
      <c r="H28" s="152">
        <v>735323</v>
      </c>
    </row>
    <row r="29" spans="1:13" ht="15">
      <c r="A29" s="234" t="s">
        <v>87</v>
      </c>
      <c r="B29" s="240"/>
      <c r="C29" s="251"/>
      <c r="D29" s="155"/>
      <c r="E29" s="250" t="s">
        <v>88</v>
      </c>
      <c r="F29" s="241" t="s">
        <v>89</v>
      </c>
      <c r="G29" s="315"/>
      <c r="H29" s="315"/>
      <c r="M29" s="157"/>
    </row>
    <row r="30" spans="1:8" ht="15">
      <c r="A30" s="234" t="s">
        <v>90</v>
      </c>
      <c r="B30" s="240" t="s">
        <v>91</v>
      </c>
      <c r="C30" s="151">
        <v>32307</v>
      </c>
      <c r="D30" s="151">
        <v>32307</v>
      </c>
      <c r="E30" s="236" t="s">
        <v>92</v>
      </c>
      <c r="F30" s="241" t="s">
        <v>93</v>
      </c>
      <c r="G30" s="158"/>
      <c r="H30" s="158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2">
        <v>32409</v>
      </c>
      <c r="H31" s="152">
        <v>68370</v>
      </c>
      <c r="M31" s="157"/>
    </row>
    <row r="32" spans="1:15" ht="15">
      <c r="A32" s="234" t="s">
        <v>98</v>
      </c>
      <c r="B32" s="249" t="s">
        <v>99</v>
      </c>
      <c r="C32" s="155">
        <f>C30+C31</f>
        <v>32307</v>
      </c>
      <c r="D32" s="155">
        <f>D30+D31</f>
        <v>32307</v>
      </c>
      <c r="E32" s="242" t="s">
        <v>100</v>
      </c>
      <c r="F32" s="241" t="s">
        <v>101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5"/>
      <c r="E33" s="252" t="s">
        <v>103</v>
      </c>
      <c r="F33" s="244" t="s">
        <v>104</v>
      </c>
      <c r="G33" s="154">
        <f>G27+G31+G32</f>
        <v>785284</v>
      </c>
      <c r="H33" s="154">
        <f>H27+H31+H32</f>
        <v>803693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852</v>
      </c>
      <c r="B34" s="243" t="s">
        <v>105</v>
      </c>
      <c r="C34" s="155">
        <f>SUM(C35:C38)</f>
        <v>34292</v>
      </c>
      <c r="D34" s="155">
        <f>SUM(D35:D38)</f>
        <v>34420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1"/>
      <c r="D35" s="151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1">
        <v>6451</v>
      </c>
      <c r="D36" s="151">
        <v>7527</v>
      </c>
      <c r="E36" s="236" t="s">
        <v>110</v>
      </c>
      <c r="F36" s="260" t="s">
        <v>111</v>
      </c>
      <c r="G36" s="154">
        <f>G25+G17+G33</f>
        <v>1401909</v>
      </c>
      <c r="H36" s="154">
        <f>H25+H17+H33</f>
        <v>1396502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1">
        <v>27841</v>
      </c>
      <c r="D37" s="151">
        <v>26893</v>
      </c>
      <c r="E37" s="236"/>
      <c r="F37" s="261"/>
      <c r="G37" s="254"/>
      <c r="H37" s="255"/>
      <c r="M37" s="157"/>
    </row>
    <row r="38" spans="1:8" ht="15">
      <c r="A38" s="234" t="s">
        <v>114</v>
      </c>
      <c r="B38" s="240" t="s">
        <v>115</v>
      </c>
      <c r="C38" s="151"/>
      <c r="D38" s="151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0" t="s">
        <v>119</v>
      </c>
      <c r="G39" s="158">
        <v>275055</v>
      </c>
      <c r="H39" s="158">
        <v>276746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1">
        <v>0</v>
      </c>
      <c r="D40" s="151">
        <v>0</v>
      </c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1"/>
      <c r="D41" s="151"/>
      <c r="E41" s="444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60"/>
      <c r="D42" s="160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1">
        <v>0</v>
      </c>
      <c r="D43" s="151">
        <v>0</v>
      </c>
      <c r="E43" s="242" t="s">
        <v>130</v>
      </c>
      <c r="F43" s="241" t="s">
        <v>131</v>
      </c>
      <c r="G43" s="152">
        <v>5546</v>
      </c>
      <c r="H43" s="152">
        <v>4315</v>
      </c>
      <c r="M43" s="157"/>
    </row>
    <row r="44" spans="1:8" ht="15">
      <c r="A44" s="234" t="s">
        <v>132</v>
      </c>
      <c r="B44" s="263" t="s">
        <v>133</v>
      </c>
      <c r="C44" s="151">
        <f>4564+505141</f>
        <v>509705</v>
      </c>
      <c r="D44" s="151">
        <v>586610</v>
      </c>
      <c r="E44" s="267" t="s">
        <v>134</v>
      </c>
      <c r="F44" s="241" t="s">
        <v>135</v>
      </c>
      <c r="G44" s="152">
        <f>119830+2654</f>
        <v>122484</v>
      </c>
      <c r="H44" s="152">
        <v>123138</v>
      </c>
    </row>
    <row r="45" spans="1:15" ht="15">
      <c r="A45" s="234" t="s">
        <v>136</v>
      </c>
      <c r="B45" s="248" t="s">
        <v>137</v>
      </c>
      <c r="C45" s="155">
        <f>C34+C39+C44</f>
        <v>543997</v>
      </c>
      <c r="D45" s="155">
        <f>D34+D39+D44</f>
        <v>621030</v>
      </c>
      <c r="E45" s="250" t="s">
        <v>138</v>
      </c>
      <c r="F45" s="241" t="s">
        <v>139</v>
      </c>
      <c r="G45" s="152"/>
      <c r="H45" s="152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5"/>
      <c r="E46" s="236" t="s">
        <v>141</v>
      </c>
      <c r="F46" s="241" t="s">
        <v>142</v>
      </c>
      <c r="G46" s="152">
        <v>5046</v>
      </c>
      <c r="H46" s="152">
        <v>1275</v>
      </c>
    </row>
    <row r="47" spans="1:13" ht="15">
      <c r="A47" s="234" t="s">
        <v>143</v>
      </c>
      <c r="B47" s="240" t="s">
        <v>144</v>
      </c>
      <c r="C47" s="151">
        <v>4887</v>
      </c>
      <c r="D47" s="151">
        <v>8758</v>
      </c>
      <c r="E47" s="250" t="s">
        <v>145</v>
      </c>
      <c r="F47" s="241" t="s">
        <v>146</v>
      </c>
      <c r="G47" s="152">
        <v>29732</v>
      </c>
      <c r="H47" s="152">
        <v>29792</v>
      </c>
      <c r="M47" s="157"/>
    </row>
    <row r="48" spans="1:8" ht="15">
      <c r="A48" s="234" t="s">
        <v>147</v>
      </c>
      <c r="B48" s="243" t="s">
        <v>148</v>
      </c>
      <c r="C48" s="151">
        <f>147586+6841</f>
        <v>154427</v>
      </c>
      <c r="D48" s="151">
        <v>152893</v>
      </c>
      <c r="E48" s="236" t="s">
        <v>149</v>
      </c>
      <c r="F48" s="241" t="s">
        <v>150</v>
      </c>
      <c r="G48" s="152">
        <v>2513856</v>
      </c>
      <c r="H48" s="152">
        <v>2361596</v>
      </c>
    </row>
    <row r="49" spans="1:18" ht="15">
      <c r="A49" s="234" t="s">
        <v>151</v>
      </c>
      <c r="B49" s="240" t="s">
        <v>152</v>
      </c>
      <c r="C49" s="151">
        <v>110</v>
      </c>
      <c r="D49" s="151">
        <v>110</v>
      </c>
      <c r="E49" s="250" t="s">
        <v>51</v>
      </c>
      <c r="F49" s="244" t="s">
        <v>153</v>
      </c>
      <c r="G49" s="154">
        <f>SUM(G43:G48)</f>
        <v>2676664</v>
      </c>
      <c r="H49" s="154">
        <f>SUM(H43:H48)</f>
        <v>2520116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1">
        <f>1904820+2944</f>
        <v>1907764</v>
      </c>
      <c r="D50" s="151">
        <v>1868294</v>
      </c>
      <c r="E50" s="236"/>
      <c r="F50" s="241"/>
      <c r="G50" s="251"/>
      <c r="H50" s="154"/>
    </row>
    <row r="51" spans="1:15" ht="15">
      <c r="A51" s="234" t="s">
        <v>155</v>
      </c>
      <c r="B51" s="248" t="s">
        <v>156</v>
      </c>
      <c r="C51" s="155">
        <f>SUM(C47:C50)</f>
        <v>2067188</v>
      </c>
      <c r="D51" s="155">
        <f>SUM(D47:D50)</f>
        <v>2030055</v>
      </c>
      <c r="E51" s="250" t="s">
        <v>157</v>
      </c>
      <c r="F51" s="244" t="s">
        <v>158</v>
      </c>
      <c r="G51" s="152">
        <v>285368</v>
      </c>
      <c r="H51" s="152">
        <v>278501</v>
      </c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5"/>
      <c r="E52" s="236" t="s">
        <v>160</v>
      </c>
      <c r="F52" s="244" t="s">
        <v>161</v>
      </c>
      <c r="G52" s="152"/>
      <c r="H52" s="152"/>
    </row>
    <row r="53" spans="1:8" ht="15">
      <c r="A53" s="234" t="s">
        <v>162</v>
      </c>
      <c r="B53" s="248" t="s">
        <v>163</v>
      </c>
      <c r="C53" s="151"/>
      <c r="D53" s="151"/>
      <c r="E53" s="236" t="s">
        <v>164</v>
      </c>
      <c r="F53" s="244" t="s">
        <v>165</v>
      </c>
      <c r="G53" s="152">
        <v>30558</v>
      </c>
      <c r="H53" s="152">
        <v>28210</v>
      </c>
    </row>
    <row r="54" spans="1:8" ht="15">
      <c r="A54" s="234" t="s">
        <v>166</v>
      </c>
      <c r="B54" s="248" t="s">
        <v>167</v>
      </c>
      <c r="C54" s="151">
        <v>6460</v>
      </c>
      <c r="D54" s="151">
        <v>6720</v>
      </c>
      <c r="E54" s="236" t="s">
        <v>168</v>
      </c>
      <c r="F54" s="244" t="s">
        <v>169</v>
      </c>
      <c r="G54" s="152">
        <v>2528</v>
      </c>
      <c r="H54" s="152">
        <v>1541</v>
      </c>
    </row>
    <row r="55" spans="1:18" ht="25.5">
      <c r="A55" s="268" t="s">
        <v>170</v>
      </c>
      <c r="B55" s="269" t="s">
        <v>171</v>
      </c>
      <c r="C55" s="155">
        <f>C19+C20+C21+C27+C32+C45+C51+C53+C54</f>
        <v>3649519</v>
      </c>
      <c r="D55" s="155">
        <f>D19+D20+D21+D27+D32+D45+D51+D53+D54</f>
        <v>3690533</v>
      </c>
      <c r="E55" s="236" t="s">
        <v>172</v>
      </c>
      <c r="F55" s="260" t="s">
        <v>173</v>
      </c>
      <c r="G55" s="154">
        <f>G49+G51+G52+G53+G54</f>
        <v>2995118</v>
      </c>
      <c r="H55" s="154">
        <f>H49+H51+H52+H53+H54</f>
        <v>2828368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6" t="s">
        <v>174</v>
      </c>
      <c r="B56" s="243"/>
      <c r="C56" s="251"/>
      <c r="D56" s="155"/>
      <c r="E56" s="236"/>
      <c r="F56" s="270"/>
      <c r="G56" s="251"/>
      <c r="H56" s="154"/>
    </row>
    <row r="57" spans="1:13" ht="15">
      <c r="A57" s="234" t="s">
        <v>175</v>
      </c>
      <c r="B57" s="240"/>
      <c r="C57" s="251"/>
      <c r="D57" s="155"/>
      <c r="E57" s="449" t="s">
        <v>176</v>
      </c>
      <c r="F57" s="270"/>
      <c r="G57" s="251"/>
      <c r="H57" s="154"/>
      <c r="M57" s="157"/>
    </row>
    <row r="58" spans="1:8" ht="15">
      <c r="A58" s="234" t="s">
        <v>177</v>
      </c>
      <c r="B58" s="240" t="s">
        <v>178</v>
      </c>
      <c r="C58" s="151">
        <v>10356</v>
      </c>
      <c r="D58" s="151">
        <v>10505</v>
      </c>
      <c r="E58" s="236" t="s">
        <v>127</v>
      </c>
      <c r="F58" s="271"/>
      <c r="G58" s="251"/>
      <c r="H58" s="154"/>
    </row>
    <row r="59" spans="1:13" ht="15">
      <c r="A59" s="234" t="s">
        <v>179</v>
      </c>
      <c r="B59" s="240" t="s">
        <v>180</v>
      </c>
      <c r="C59" s="151">
        <v>2403</v>
      </c>
      <c r="D59" s="151">
        <v>2039</v>
      </c>
      <c r="E59" s="250" t="s">
        <v>181</v>
      </c>
      <c r="F59" s="241" t="s">
        <v>182</v>
      </c>
      <c r="G59" s="152">
        <v>74033</v>
      </c>
      <c r="H59" s="152">
        <v>62252</v>
      </c>
      <c r="M59" s="157"/>
    </row>
    <row r="60" spans="1:8" ht="15">
      <c r="A60" s="234" t="s">
        <v>183</v>
      </c>
      <c r="B60" s="240" t="s">
        <v>184</v>
      </c>
      <c r="C60" s="151">
        <v>7903</v>
      </c>
      <c r="D60" s="151">
        <v>10069</v>
      </c>
      <c r="E60" s="236" t="s">
        <v>185</v>
      </c>
      <c r="F60" s="241" t="s">
        <v>186</v>
      </c>
      <c r="G60" s="152">
        <v>0</v>
      </c>
      <c r="H60" s="152">
        <v>0</v>
      </c>
    </row>
    <row r="61" spans="1:18" ht="15">
      <c r="A61" s="234" t="s">
        <v>187</v>
      </c>
      <c r="B61" s="243" t="s">
        <v>188</v>
      </c>
      <c r="C61" s="151">
        <v>2080</v>
      </c>
      <c r="D61" s="151">
        <v>1791</v>
      </c>
      <c r="E61" s="242" t="s">
        <v>189</v>
      </c>
      <c r="F61" s="271" t="s">
        <v>190</v>
      </c>
      <c r="G61" s="154">
        <f>SUM(G62:G68)</f>
        <v>158431</v>
      </c>
      <c r="H61" s="154">
        <f>SUM(H62:H68)</f>
        <v>186632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1"/>
      <c r="D62" s="151"/>
      <c r="E62" s="242" t="s">
        <v>193</v>
      </c>
      <c r="F62" s="241" t="s">
        <v>194</v>
      </c>
      <c r="G62" s="152">
        <v>30302</v>
      </c>
      <c r="H62" s="152">
        <v>37419</v>
      </c>
    </row>
    <row r="63" spans="1:13" ht="15">
      <c r="A63" s="234" t="s">
        <v>195</v>
      </c>
      <c r="B63" s="240" t="s">
        <v>196</v>
      </c>
      <c r="C63" s="151">
        <f>6205+16285-11</f>
        <v>22479</v>
      </c>
      <c r="D63" s="151">
        <v>22771</v>
      </c>
      <c r="E63" s="236" t="s">
        <v>197</v>
      </c>
      <c r="F63" s="241" t="s">
        <v>198</v>
      </c>
      <c r="G63" s="152">
        <v>19030</v>
      </c>
      <c r="H63" s="152">
        <v>21830</v>
      </c>
      <c r="M63" s="157"/>
    </row>
    <row r="64" spans="1:15" ht="15">
      <c r="A64" s="234" t="s">
        <v>51</v>
      </c>
      <c r="B64" s="248" t="s">
        <v>199</v>
      </c>
      <c r="C64" s="155">
        <f>SUM(C58:C63)</f>
        <v>45221</v>
      </c>
      <c r="D64" s="155">
        <f>SUM(D58:D63)</f>
        <v>47175</v>
      </c>
      <c r="E64" s="236" t="s">
        <v>200</v>
      </c>
      <c r="F64" s="241" t="s">
        <v>201</v>
      </c>
      <c r="G64" s="152">
        <v>87217</v>
      </c>
      <c r="H64" s="152">
        <v>97372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5"/>
      <c r="E65" s="236" t="s">
        <v>202</v>
      </c>
      <c r="F65" s="241" t="s">
        <v>203</v>
      </c>
      <c r="G65" s="152">
        <v>3137</v>
      </c>
      <c r="H65" s="152">
        <v>8962</v>
      </c>
    </row>
    <row r="66" spans="1:8" ht="15">
      <c r="A66" s="234" t="s">
        <v>204</v>
      </c>
      <c r="B66" s="240"/>
      <c r="C66" s="251"/>
      <c r="D66" s="155"/>
      <c r="E66" s="236" t="s">
        <v>205</v>
      </c>
      <c r="F66" s="241" t="s">
        <v>206</v>
      </c>
      <c r="G66" s="152">
        <f>11767-2123</f>
        <v>9644</v>
      </c>
      <c r="H66" s="152">
        <v>11747</v>
      </c>
    </row>
    <row r="67" spans="1:8" ht="15">
      <c r="A67" s="234" t="s">
        <v>207</v>
      </c>
      <c r="B67" s="240" t="s">
        <v>208</v>
      </c>
      <c r="C67" s="151">
        <v>65466</v>
      </c>
      <c r="D67" s="151">
        <v>68920</v>
      </c>
      <c r="E67" s="236" t="s">
        <v>209</v>
      </c>
      <c r="F67" s="241" t="s">
        <v>210</v>
      </c>
      <c r="G67" s="152">
        <v>2123</v>
      </c>
      <c r="H67" s="152">
        <v>2813</v>
      </c>
    </row>
    <row r="68" spans="1:8" ht="15">
      <c r="A68" s="234" t="s">
        <v>211</v>
      </c>
      <c r="B68" s="240" t="s">
        <v>212</v>
      </c>
      <c r="C68" s="151">
        <v>103501</v>
      </c>
      <c r="D68" s="151">
        <v>102302</v>
      </c>
      <c r="E68" s="236" t="s">
        <v>213</v>
      </c>
      <c r="F68" s="241" t="s">
        <v>214</v>
      </c>
      <c r="G68" s="152">
        <v>6978</v>
      </c>
      <c r="H68" s="152">
        <v>6489</v>
      </c>
    </row>
    <row r="69" spans="1:8" ht="15">
      <c r="A69" s="234" t="s">
        <v>215</v>
      </c>
      <c r="B69" s="240" t="s">
        <v>216</v>
      </c>
      <c r="C69" s="151">
        <v>15146</v>
      </c>
      <c r="D69" s="151">
        <v>36210</v>
      </c>
      <c r="E69" s="250" t="s">
        <v>78</v>
      </c>
      <c r="F69" s="241" t="s">
        <v>217</v>
      </c>
      <c r="G69" s="152">
        <v>3983841</v>
      </c>
      <c r="H69" s="152">
        <v>4019595</v>
      </c>
    </row>
    <row r="70" spans="1:8" ht="15">
      <c r="A70" s="234" t="s">
        <v>218</v>
      </c>
      <c r="B70" s="240" t="s">
        <v>219</v>
      </c>
      <c r="C70" s="151">
        <v>122943</v>
      </c>
      <c r="D70" s="151">
        <v>140313</v>
      </c>
      <c r="E70" s="236" t="s">
        <v>220</v>
      </c>
      <c r="F70" s="241" t="s">
        <v>221</v>
      </c>
      <c r="G70" s="152">
        <v>164</v>
      </c>
      <c r="H70" s="152">
        <v>969</v>
      </c>
    </row>
    <row r="71" spans="1:18" ht="15">
      <c r="A71" s="234" t="s">
        <v>222</v>
      </c>
      <c r="B71" s="240" t="s">
        <v>223</v>
      </c>
      <c r="C71" s="151">
        <f>46040+14912</f>
        <v>60952</v>
      </c>
      <c r="D71" s="151">
        <v>60721</v>
      </c>
      <c r="E71" s="252" t="s">
        <v>46</v>
      </c>
      <c r="F71" s="272" t="s">
        <v>224</v>
      </c>
      <c r="G71" s="161">
        <f>G59+G60+G61+G69+G70</f>
        <v>4216469</v>
      </c>
      <c r="H71" s="161">
        <f>H59+H60+H61+H69+H70</f>
        <v>4269448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1">
        <v>2632</v>
      </c>
      <c r="D72" s="151">
        <v>1756</v>
      </c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1"/>
      <c r="D73" s="151"/>
      <c r="E73" s="163"/>
      <c r="F73" s="276"/>
      <c r="G73" s="277"/>
      <c r="H73" s="278"/>
    </row>
    <row r="74" spans="1:8" ht="15">
      <c r="A74" s="234" t="s">
        <v>229</v>
      </c>
      <c r="B74" s="240" t="s">
        <v>230</v>
      </c>
      <c r="C74" s="151">
        <f>208681+9016</f>
        <v>217697</v>
      </c>
      <c r="D74" s="151">
        <v>194522</v>
      </c>
      <c r="E74" s="236" t="s">
        <v>231</v>
      </c>
      <c r="F74" s="279" t="s">
        <v>232</v>
      </c>
      <c r="G74" s="152">
        <v>32966</v>
      </c>
      <c r="H74" s="152">
        <v>69315</v>
      </c>
    </row>
    <row r="75" spans="1:15" ht="15">
      <c r="A75" s="234" t="s">
        <v>76</v>
      </c>
      <c r="B75" s="248" t="s">
        <v>233</v>
      </c>
      <c r="C75" s="155">
        <f>SUM(C67:C74)</f>
        <v>588337</v>
      </c>
      <c r="D75" s="155">
        <f>SUM(D67:D74)</f>
        <v>604744</v>
      </c>
      <c r="E75" s="250" t="s">
        <v>160</v>
      </c>
      <c r="F75" s="244" t="s">
        <v>234</v>
      </c>
      <c r="G75" s="152">
        <v>3639</v>
      </c>
      <c r="H75" s="152">
        <v>2843</v>
      </c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5"/>
      <c r="E76" s="236" t="s">
        <v>235</v>
      </c>
      <c r="F76" s="244" t="s">
        <v>236</v>
      </c>
      <c r="G76" s="152">
        <v>1064</v>
      </c>
      <c r="H76" s="152">
        <v>2094</v>
      </c>
    </row>
    <row r="77" spans="1:13" ht="15">
      <c r="A77" s="234" t="s">
        <v>237</v>
      </c>
      <c r="B77" s="240"/>
      <c r="C77" s="251"/>
      <c r="D77" s="155"/>
      <c r="E77" s="236"/>
      <c r="F77" s="280"/>
      <c r="G77" s="281"/>
      <c r="H77" s="282"/>
      <c r="M77" s="157"/>
    </row>
    <row r="78" spans="1:14" ht="15">
      <c r="A78" s="234" t="s">
        <v>238</v>
      </c>
      <c r="B78" s="240" t="s">
        <v>239</v>
      </c>
      <c r="C78" s="155">
        <f>SUM(C79:C81)</f>
        <v>1464822</v>
      </c>
      <c r="D78" s="155">
        <f>SUM(D79:D81)</f>
        <v>1425759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1">
        <v>439475</v>
      </c>
      <c r="D79" s="151">
        <v>407846</v>
      </c>
      <c r="E79" s="250" t="s">
        <v>242</v>
      </c>
      <c r="F79" s="260" t="s">
        <v>243</v>
      </c>
      <c r="G79" s="162">
        <f>G71+G74+G75+G76</f>
        <v>4254138</v>
      </c>
      <c r="H79" s="162">
        <f>H71+H74+H75+H76</f>
        <v>4343700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1">
        <v>362</v>
      </c>
      <c r="D80" s="151">
        <v>1025</v>
      </c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1">
        <f>615779+409206</f>
        <v>1024985</v>
      </c>
      <c r="D81" s="151">
        <v>1016888</v>
      </c>
      <c r="E81" s="163"/>
      <c r="F81" s="284"/>
      <c r="G81" s="284"/>
      <c r="H81" s="285"/>
    </row>
    <row r="82" spans="1:8" ht="15">
      <c r="A82" s="234" t="s">
        <v>248</v>
      </c>
      <c r="B82" s="240" t="s">
        <v>249</v>
      </c>
      <c r="C82" s="151">
        <v>87949</v>
      </c>
      <c r="D82" s="151">
        <v>83856</v>
      </c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1">
        <v>737959</v>
      </c>
      <c r="D83" s="151">
        <v>775588</v>
      </c>
      <c r="E83" s="163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5">
        <f>C83+C82+C78</f>
        <v>2290730</v>
      </c>
      <c r="D84" s="155">
        <f>D83+D82+D78</f>
        <v>2285203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5"/>
      <c r="E85" s="163"/>
      <c r="F85" s="284"/>
      <c r="G85" s="284"/>
      <c r="H85" s="285"/>
      <c r="M85" s="157"/>
    </row>
    <row r="86" spans="1:8" ht="15">
      <c r="A86" s="234" t="s">
        <v>253</v>
      </c>
      <c r="B86" s="240"/>
      <c r="C86" s="251"/>
      <c r="D86" s="155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1">
        <v>41001</v>
      </c>
      <c r="D87" s="151">
        <v>243150</v>
      </c>
      <c r="E87" s="163"/>
      <c r="F87" s="284"/>
      <c r="G87" s="284"/>
      <c r="H87" s="285"/>
      <c r="M87" s="157"/>
    </row>
    <row r="88" spans="1:8" ht="15">
      <c r="A88" s="234" t="s">
        <v>256</v>
      </c>
      <c r="B88" s="240" t="s">
        <v>257</v>
      </c>
      <c r="C88" s="151">
        <f>-60777+2335864</f>
        <v>2275087</v>
      </c>
      <c r="D88" s="151">
        <v>1940472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1">
        <v>19776</v>
      </c>
      <c r="D89" s="151">
        <v>21282</v>
      </c>
      <c r="E89" s="262"/>
      <c r="F89" s="284"/>
      <c r="G89" s="284"/>
      <c r="H89" s="285"/>
      <c r="M89" s="157"/>
    </row>
    <row r="90" spans="1:8" ht="15">
      <c r="A90" s="234" t="s">
        <v>260</v>
      </c>
      <c r="B90" s="240" t="s">
        <v>261</v>
      </c>
      <c r="C90" s="151"/>
      <c r="D90" s="151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5">
        <f>SUM(C87:C90)</f>
        <v>2335864</v>
      </c>
      <c r="D91" s="155">
        <f>SUM(D87:D90)</f>
        <v>2204904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1">
        <v>16549</v>
      </c>
      <c r="D92" s="151">
        <v>12757</v>
      </c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5">
        <f>C64+C75+C84+C91+C92</f>
        <v>5276701</v>
      </c>
      <c r="D93" s="155">
        <f>D64+D75+D84+D91+D92</f>
        <v>5154783</v>
      </c>
      <c r="E93" s="163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7" t="s">
        <v>268</v>
      </c>
      <c r="B94" s="287" t="s">
        <v>269</v>
      </c>
      <c r="C94" s="164">
        <f>C93+C55</f>
        <v>8926220</v>
      </c>
      <c r="D94" s="164">
        <f>D93+D55</f>
        <v>8845316</v>
      </c>
      <c r="E94" s="448" t="s">
        <v>270</v>
      </c>
      <c r="F94" s="288" t="s">
        <v>271</v>
      </c>
      <c r="G94" s="165">
        <f>G36+G39+G55+G79</f>
        <v>8926220</v>
      </c>
      <c r="H94" s="165">
        <f>H36+H39+H55+H79</f>
        <v>8845316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0" t="s">
        <v>864</v>
      </c>
      <c r="B96" s="431"/>
      <c r="C96" s="605"/>
      <c r="D96" s="150"/>
      <c r="E96" s="432"/>
      <c r="F96" s="170"/>
      <c r="G96" s="606"/>
      <c r="H96" s="172"/>
      <c r="M96" s="157"/>
    </row>
    <row r="97" spans="1:13" ht="15">
      <c r="A97" s="430"/>
      <c r="B97" s="431"/>
      <c r="C97" s="150"/>
      <c r="D97" s="150"/>
      <c r="E97" s="432"/>
      <c r="F97" s="170"/>
      <c r="G97" s="606"/>
      <c r="H97" s="172"/>
      <c r="M97" s="157"/>
    </row>
    <row r="98" spans="1:13" ht="15">
      <c r="A98" s="45" t="s">
        <v>924</v>
      </c>
      <c r="B98" s="431"/>
      <c r="C98" s="612" t="s">
        <v>273</v>
      </c>
      <c r="D98" s="612"/>
      <c r="E98" s="612"/>
      <c r="F98" s="170"/>
      <c r="G98" s="171"/>
      <c r="H98" s="172"/>
      <c r="M98" s="157"/>
    </row>
    <row r="99" spans="1:8" ht="15">
      <c r="A99" s="572"/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612" t="s">
        <v>855</v>
      </c>
      <c r="D100" s="613"/>
      <c r="E100" s="613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600" verticalDpi="6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366"/>
  <sheetViews>
    <sheetView zoomScaleSheetLayoutView="100" zoomScalePageLayoutView="0" workbookViewId="0" topLeftCell="D7">
      <selection activeCell="B49" sqref="B49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617" t="s">
        <v>863</v>
      </c>
      <c r="C2" s="617"/>
      <c r="D2" s="617"/>
      <c r="E2" s="617"/>
      <c r="F2" s="619" t="s">
        <v>2</v>
      </c>
      <c r="G2" s="619"/>
      <c r="H2" s="523">
        <v>627519</v>
      </c>
    </row>
    <row r="3" spans="1:8" ht="15">
      <c r="A3" s="464" t="s">
        <v>275</v>
      </c>
      <c r="B3" s="617" t="s">
        <v>865</v>
      </c>
      <c r="C3" s="617"/>
      <c r="D3" s="617"/>
      <c r="E3" s="617"/>
      <c r="F3" s="543" t="s">
        <v>4</v>
      </c>
      <c r="G3" s="524"/>
      <c r="H3" s="524"/>
    </row>
    <row r="4" spans="1:8" ht="17.25" customHeight="1">
      <c r="A4" s="464" t="s">
        <v>5</v>
      </c>
      <c r="B4" s="618">
        <v>43190</v>
      </c>
      <c r="C4" s="618"/>
      <c r="D4" s="618"/>
      <c r="E4" s="313"/>
      <c r="F4" s="463"/>
      <c r="G4" s="541"/>
      <c r="H4" s="544" t="s">
        <v>276</v>
      </c>
    </row>
    <row r="5" spans="1:8" ht="24">
      <c r="A5" s="291" t="s">
        <v>277</v>
      </c>
      <c r="B5" s="292" t="s">
        <v>8</v>
      </c>
      <c r="C5" s="291" t="s">
        <v>9</v>
      </c>
      <c r="D5" s="293" t="s">
        <v>13</v>
      </c>
      <c r="E5" s="291" t="s">
        <v>278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3"/>
      <c r="G7" s="545"/>
      <c r="H7" s="545"/>
    </row>
    <row r="8" spans="1:8" ht="12">
      <c r="A8" s="295" t="s">
        <v>281</v>
      </c>
      <c r="B8" s="295"/>
      <c r="C8" s="296"/>
      <c r="D8" s="50"/>
      <c r="E8" s="295" t="s">
        <v>282</v>
      </c>
      <c r="F8" s="303"/>
      <c r="G8" s="545"/>
      <c r="H8" s="545"/>
    </row>
    <row r="9" spans="1:8" ht="12">
      <c r="A9" s="297" t="s">
        <v>283</v>
      </c>
      <c r="B9" s="298" t="s">
        <v>284</v>
      </c>
      <c r="C9" s="46">
        <f>20821+694+107</f>
        <v>21622</v>
      </c>
      <c r="D9" s="46">
        <v>21954</v>
      </c>
      <c r="E9" s="297" t="s">
        <v>285</v>
      </c>
      <c r="F9" s="546" t="s">
        <v>286</v>
      </c>
      <c r="G9" s="547">
        <f>13918+384</f>
        <v>14302</v>
      </c>
      <c r="H9" s="547">
        <v>13280</v>
      </c>
    </row>
    <row r="10" spans="1:8" ht="12">
      <c r="A10" s="297" t="s">
        <v>287</v>
      </c>
      <c r="B10" s="298" t="s">
        <v>288</v>
      </c>
      <c r="C10" s="46">
        <f>44053+3179+934+152+8</f>
        <v>48326</v>
      </c>
      <c r="D10" s="46">
        <v>50927</v>
      </c>
      <c r="E10" s="297" t="s">
        <v>289</v>
      </c>
      <c r="F10" s="546" t="s">
        <v>290</v>
      </c>
      <c r="G10" s="547">
        <f>12152+381</f>
        <v>12533</v>
      </c>
      <c r="H10" s="547">
        <v>11348</v>
      </c>
    </row>
    <row r="11" spans="1:8" ht="12">
      <c r="A11" s="297" t="s">
        <v>291</v>
      </c>
      <c r="B11" s="298" t="s">
        <v>292</v>
      </c>
      <c r="C11" s="46">
        <f>8796-69+31</f>
        <v>8758</v>
      </c>
      <c r="D11" s="46">
        <v>9310</v>
      </c>
      <c r="E11" s="299" t="s">
        <v>293</v>
      </c>
      <c r="F11" s="546" t="s">
        <v>294</v>
      </c>
      <c r="G11" s="547">
        <f>5866+2071+47364</f>
        <v>55301</v>
      </c>
      <c r="H11" s="547">
        <v>59572</v>
      </c>
    </row>
    <row r="12" spans="1:8" ht="12">
      <c r="A12" s="297" t="s">
        <v>295</v>
      </c>
      <c r="B12" s="298" t="s">
        <v>296</v>
      </c>
      <c r="C12" s="46">
        <f>21979+1836</f>
        <v>23815</v>
      </c>
      <c r="D12" s="46">
        <v>23539</v>
      </c>
      <c r="E12" s="299" t="s">
        <v>78</v>
      </c>
      <c r="F12" s="546" t="s">
        <v>297</v>
      </c>
      <c r="G12" s="547">
        <f>7749+21+19</f>
        <v>7789</v>
      </c>
      <c r="H12" s="547">
        <v>8847</v>
      </c>
    </row>
    <row r="13" spans="1:18" ht="12">
      <c r="A13" s="297" t="s">
        <v>298</v>
      </c>
      <c r="B13" s="298" t="s">
        <v>299</v>
      </c>
      <c r="C13" s="46">
        <f>3979+298</f>
        <v>4277</v>
      </c>
      <c r="D13" s="46">
        <v>4071</v>
      </c>
      <c r="E13" s="300" t="s">
        <v>51</v>
      </c>
      <c r="F13" s="548" t="s">
        <v>300</v>
      </c>
      <c r="G13" s="545">
        <f>SUM(G9:G12)</f>
        <v>89925</v>
      </c>
      <c r="H13" s="545">
        <f>SUM(H9:H12)</f>
        <v>93047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301</v>
      </c>
      <c r="B14" s="298" t="s">
        <v>302</v>
      </c>
      <c r="C14" s="46"/>
      <c r="D14" s="46">
        <v>12592</v>
      </c>
      <c r="E14" s="299"/>
      <c r="F14" s="549"/>
      <c r="G14" s="550"/>
      <c r="H14" s="550"/>
    </row>
    <row r="15" spans="1:8" ht="24">
      <c r="A15" s="297" t="s">
        <v>303</v>
      </c>
      <c r="B15" s="298" t="s">
        <v>304</v>
      </c>
      <c r="C15" s="47">
        <v>-616</v>
      </c>
      <c r="D15" s="47">
        <v>-830</v>
      </c>
      <c r="E15" s="295" t="s">
        <v>305</v>
      </c>
      <c r="F15" s="551" t="s">
        <v>306</v>
      </c>
      <c r="G15" s="547"/>
      <c r="H15" s="547"/>
    </row>
    <row r="16" spans="1:8" ht="12">
      <c r="A16" s="297" t="s">
        <v>307</v>
      </c>
      <c r="B16" s="298" t="s">
        <v>308</v>
      </c>
      <c r="C16" s="48">
        <v>23428</v>
      </c>
      <c r="D16" s="48">
        <v>14883</v>
      </c>
      <c r="E16" s="297" t="s">
        <v>309</v>
      </c>
      <c r="F16" s="549" t="s">
        <v>310</v>
      </c>
      <c r="G16" s="552"/>
      <c r="H16" s="552"/>
    </row>
    <row r="17" spans="1:8" ht="12">
      <c r="A17" s="301" t="s">
        <v>311</v>
      </c>
      <c r="B17" s="298" t="s">
        <v>312</v>
      </c>
      <c r="C17" s="48"/>
      <c r="D17" s="48"/>
      <c r="E17" s="295"/>
      <c r="F17" s="303"/>
      <c r="G17" s="550"/>
      <c r="H17" s="550"/>
    </row>
    <row r="18" spans="1:8" ht="12">
      <c r="A18" s="301" t="s">
        <v>313</v>
      </c>
      <c r="B18" s="298" t="s">
        <v>314</v>
      </c>
      <c r="C18" s="48"/>
      <c r="D18" s="48"/>
      <c r="E18" s="295" t="s">
        <v>315</v>
      </c>
      <c r="F18" s="303"/>
      <c r="G18" s="550"/>
      <c r="H18" s="550"/>
    </row>
    <row r="19" spans="1:15" ht="12">
      <c r="A19" s="300" t="s">
        <v>51</v>
      </c>
      <c r="B19" s="302" t="s">
        <v>316</v>
      </c>
      <c r="C19" s="49">
        <f>SUM(C9:C15)+C16</f>
        <v>129610</v>
      </c>
      <c r="D19" s="49">
        <f>SUM(D9:D15)+D16</f>
        <v>136446</v>
      </c>
      <c r="E19" s="303" t="s">
        <v>317</v>
      </c>
      <c r="F19" s="549" t="s">
        <v>318</v>
      </c>
      <c r="G19" s="547">
        <v>45479</v>
      </c>
      <c r="H19" s="547">
        <v>50242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319</v>
      </c>
      <c r="F20" s="549" t="s">
        <v>320</v>
      </c>
      <c r="G20" s="547">
        <v>125</v>
      </c>
      <c r="H20" s="547">
        <v>122</v>
      </c>
    </row>
    <row r="21" spans="1:8" ht="24">
      <c r="A21" s="295" t="s">
        <v>321</v>
      </c>
      <c r="B21" s="304"/>
      <c r="C21" s="314"/>
      <c r="D21" s="314"/>
      <c r="E21" s="297" t="s">
        <v>322</v>
      </c>
      <c r="F21" s="549" t="s">
        <v>323</v>
      </c>
      <c r="G21" s="547">
        <f>137109-125</f>
        <v>136984</v>
      </c>
      <c r="H21" s="547">
        <v>140954</v>
      </c>
    </row>
    <row r="22" spans="1:8" ht="24">
      <c r="A22" s="303" t="s">
        <v>324</v>
      </c>
      <c r="B22" s="304" t="s">
        <v>325</v>
      </c>
      <c r="C22" s="46">
        <v>8587</v>
      </c>
      <c r="D22" s="46">
        <v>12125</v>
      </c>
      <c r="E22" s="303" t="s">
        <v>326</v>
      </c>
      <c r="F22" s="549" t="s">
        <v>327</v>
      </c>
      <c r="G22" s="547">
        <v>2370154</v>
      </c>
      <c r="H22" s="547">
        <v>2636452</v>
      </c>
    </row>
    <row r="23" spans="1:8" ht="24">
      <c r="A23" s="297" t="s">
        <v>328</v>
      </c>
      <c r="B23" s="304" t="s">
        <v>329</v>
      </c>
      <c r="C23" s="46">
        <v>112780</v>
      </c>
      <c r="D23" s="46">
        <v>114511</v>
      </c>
      <c r="E23" s="297" t="s">
        <v>330</v>
      </c>
      <c r="F23" s="549" t="s">
        <v>331</v>
      </c>
      <c r="G23" s="547">
        <f>171511+5464</f>
        <v>176975</v>
      </c>
      <c r="H23" s="547">
        <f>410554-258826</f>
        <v>151728</v>
      </c>
    </row>
    <row r="24" spans="1:18" ht="12">
      <c r="A24" s="297" t="s">
        <v>332</v>
      </c>
      <c r="B24" s="304" t="s">
        <v>333</v>
      </c>
      <c r="C24" s="46">
        <v>2373750</v>
      </c>
      <c r="D24" s="46">
        <v>2637800</v>
      </c>
      <c r="E24" s="300" t="s">
        <v>103</v>
      </c>
      <c r="F24" s="551" t="s">
        <v>334</v>
      </c>
      <c r="G24" s="545">
        <f>SUM(G19:G23)</f>
        <v>2729717</v>
      </c>
      <c r="H24" s="545">
        <f>SUM(H19:H23)</f>
        <v>2979498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78</v>
      </c>
      <c r="B25" s="304" t="s">
        <v>335</v>
      </c>
      <c r="C25" s="46">
        <v>151907</v>
      </c>
      <c r="D25" s="46">
        <f>406623-258826</f>
        <v>147797</v>
      </c>
      <c r="E25" s="301"/>
      <c r="F25" s="303"/>
      <c r="G25" s="550"/>
      <c r="H25" s="550"/>
    </row>
    <row r="26" spans="1:14" ht="12">
      <c r="A26" s="300" t="s">
        <v>76</v>
      </c>
      <c r="B26" s="305" t="s">
        <v>336</v>
      </c>
      <c r="C26" s="49">
        <f>SUM(C22:C25)</f>
        <v>2647024</v>
      </c>
      <c r="D26" s="49">
        <f>SUM(D22:D25)</f>
        <v>2912233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7" t="s">
        <v>337</v>
      </c>
      <c r="B28" s="292" t="s">
        <v>338</v>
      </c>
      <c r="C28" s="50">
        <f>C26+C19</f>
        <v>2776634</v>
      </c>
      <c r="D28" s="50">
        <f>D26+D19</f>
        <v>3048679</v>
      </c>
      <c r="E28" s="127" t="s">
        <v>339</v>
      </c>
      <c r="F28" s="551" t="s">
        <v>340</v>
      </c>
      <c r="G28" s="545">
        <f>G13+G15+G24</f>
        <v>2819642</v>
      </c>
      <c r="H28" s="545">
        <f>H13+H15+H24</f>
        <v>3072545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7"/>
      <c r="B29" s="292"/>
      <c r="C29" s="314"/>
      <c r="D29" s="314"/>
      <c r="E29" s="127"/>
      <c r="F29" s="549"/>
      <c r="G29" s="550"/>
      <c r="H29" s="550"/>
    </row>
    <row r="30" spans="1:18" ht="12">
      <c r="A30" s="127" t="s">
        <v>341</v>
      </c>
      <c r="B30" s="292" t="s">
        <v>342</v>
      </c>
      <c r="C30" s="50">
        <f>IF((G28-C28)&gt;0,G28-C28,0)</f>
        <v>43008</v>
      </c>
      <c r="D30" s="50">
        <f>IF((H28-D28)&gt;0,H28-D28,0)</f>
        <v>23866</v>
      </c>
      <c r="E30" s="127" t="s">
        <v>343</v>
      </c>
      <c r="F30" s="551" t="s">
        <v>344</v>
      </c>
      <c r="G30" s="53">
        <f>IF((C28-G28)&gt;0,C28-G28,0)</f>
        <v>0</v>
      </c>
      <c r="H30" s="53"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869</v>
      </c>
      <c r="B31" s="305" t="s">
        <v>345</v>
      </c>
      <c r="C31" s="46"/>
      <c r="D31" s="46"/>
      <c r="E31" s="295" t="s">
        <v>868</v>
      </c>
      <c r="F31" s="549" t="s">
        <v>346</v>
      </c>
      <c r="G31" s="547">
        <v>271</v>
      </c>
      <c r="H31" s="547">
        <v>1212</v>
      </c>
    </row>
    <row r="32" spans="1:8" ht="12">
      <c r="A32" s="295" t="s">
        <v>347</v>
      </c>
      <c r="B32" s="306" t="s">
        <v>348</v>
      </c>
      <c r="C32" s="46"/>
      <c r="D32" s="46"/>
      <c r="E32" s="295" t="s">
        <v>349</v>
      </c>
      <c r="F32" s="549" t="s">
        <v>350</v>
      </c>
      <c r="G32" s="547"/>
      <c r="H32" s="547"/>
    </row>
    <row r="33" spans="1:18" ht="12">
      <c r="A33" s="128" t="s">
        <v>351</v>
      </c>
      <c r="B33" s="305" t="s">
        <v>352</v>
      </c>
      <c r="C33" s="49">
        <f>C28+C31+C32</f>
        <v>2776634</v>
      </c>
      <c r="D33" s="49">
        <f>D28+D31+D32</f>
        <v>3048679</v>
      </c>
      <c r="E33" s="127" t="s">
        <v>353</v>
      </c>
      <c r="F33" s="551" t="s">
        <v>354</v>
      </c>
      <c r="G33" s="53">
        <f>G32+G31+G28</f>
        <v>2819913</v>
      </c>
      <c r="H33" s="53">
        <f>H32+H31+H28</f>
        <v>3073757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8" t="s">
        <v>355</v>
      </c>
      <c r="B34" s="292" t="s">
        <v>356</v>
      </c>
      <c r="C34" s="50">
        <f>IF((G33-C33)&gt;0,G33-C33,0)</f>
        <v>43279</v>
      </c>
      <c r="D34" s="50">
        <f>IF((H33-D33)&gt;0,H33-D33,0)</f>
        <v>25078</v>
      </c>
      <c r="E34" s="128" t="s">
        <v>357</v>
      </c>
      <c r="F34" s="551" t="s">
        <v>358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359</v>
      </c>
      <c r="B35" s="305" t="s">
        <v>360</v>
      </c>
      <c r="C35" s="49">
        <f>C36+C37+C38</f>
        <v>4412</v>
      </c>
      <c r="D35" s="49">
        <f>D36+D37+D38</f>
        <v>-3723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361</v>
      </c>
      <c r="B36" s="304" t="s">
        <v>362</v>
      </c>
      <c r="C36" s="46">
        <v>1806</v>
      </c>
      <c r="D36" s="46">
        <v>2898</v>
      </c>
      <c r="E36" s="307"/>
      <c r="F36" s="303"/>
      <c r="G36" s="550"/>
      <c r="H36" s="550"/>
    </row>
    <row r="37" spans="1:8" ht="24">
      <c r="A37" s="308" t="s">
        <v>363</v>
      </c>
      <c r="B37" s="309" t="s">
        <v>364</v>
      </c>
      <c r="C37" s="429">
        <v>2606</v>
      </c>
      <c r="D37" s="429">
        <v>-6621</v>
      </c>
      <c r="E37" s="307"/>
      <c r="F37" s="554"/>
      <c r="G37" s="550"/>
      <c r="H37" s="550"/>
    </row>
    <row r="38" spans="1:8" ht="12">
      <c r="A38" s="310" t="s">
        <v>365</v>
      </c>
      <c r="B38" s="309" t="s">
        <v>366</v>
      </c>
      <c r="C38" s="126"/>
      <c r="D38" s="126"/>
      <c r="E38" s="307"/>
      <c r="F38" s="554"/>
      <c r="G38" s="550"/>
      <c r="H38" s="550"/>
    </row>
    <row r="39" spans="1:18" ht="12">
      <c r="A39" s="311" t="s">
        <v>367</v>
      </c>
      <c r="B39" s="129" t="s">
        <v>368</v>
      </c>
      <c r="C39" s="457">
        <f>+IF((G33-C33-C35)&gt;0,G33-C33-C35,0)</f>
        <v>38867</v>
      </c>
      <c r="D39" s="457">
        <f>+IF((H33-D33-D35)&gt;0,H33-D33-D35,0)</f>
        <v>28801</v>
      </c>
      <c r="E39" s="312" t="s">
        <v>369</v>
      </c>
      <c r="F39" s="555" t="s">
        <v>370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7" t="s">
        <v>371</v>
      </c>
      <c r="B40" s="294" t="s">
        <v>372</v>
      </c>
      <c r="C40" s="51">
        <v>6458</v>
      </c>
      <c r="D40" s="51">
        <v>2134</v>
      </c>
      <c r="E40" s="127" t="s">
        <v>371</v>
      </c>
      <c r="F40" s="555" t="s">
        <v>373</v>
      </c>
      <c r="G40" s="547"/>
      <c r="H40" s="547"/>
    </row>
    <row r="41" spans="1:18" ht="12">
      <c r="A41" s="127" t="s">
        <v>374</v>
      </c>
      <c r="B41" s="291" t="s">
        <v>375</v>
      </c>
      <c r="C41" s="52">
        <f>IF(G39=0,IF(C39-C40&gt;0,C39-C40+G40,0),IF(G39-G40&lt;0,G40-G39+C39,0))</f>
        <v>32409</v>
      </c>
      <c r="D41" s="52">
        <f>IF(H39=0,IF(D39-D40&gt;0,D39-D40+H40,0),IF(H39-H40&lt;0,H40-H39+D39,0))</f>
        <v>26667</v>
      </c>
      <c r="E41" s="127" t="s">
        <v>376</v>
      </c>
      <c r="F41" s="568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8" t="s">
        <v>378</v>
      </c>
      <c r="B42" s="291" t="s">
        <v>379</v>
      </c>
      <c r="C42" s="53">
        <f>C33+C35+C39</f>
        <v>2819913</v>
      </c>
      <c r="D42" s="53">
        <f>D33+D35+D39</f>
        <v>3073757</v>
      </c>
      <c r="E42" s="128" t="s">
        <v>380</v>
      </c>
      <c r="F42" s="129" t="s">
        <v>381</v>
      </c>
      <c r="G42" s="53">
        <f>G39+G33</f>
        <v>2819913</v>
      </c>
      <c r="H42" s="53">
        <f>H39+H33</f>
        <v>3073757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3"/>
      <c r="C43" s="424"/>
      <c r="D43" s="424"/>
      <c r="E43" s="425"/>
      <c r="F43" s="557"/>
      <c r="G43" s="424"/>
      <c r="H43" s="424"/>
    </row>
    <row r="44" spans="1:8" ht="12">
      <c r="A44" s="313"/>
      <c r="B44" s="423"/>
      <c r="C44" s="424"/>
      <c r="D44" s="424"/>
      <c r="E44" s="425"/>
      <c r="F44" s="557"/>
      <c r="G44" s="424"/>
      <c r="H44" s="424"/>
    </row>
    <row r="45" spans="1:8" ht="12">
      <c r="A45" s="620" t="s">
        <v>861</v>
      </c>
      <c r="B45" s="620"/>
      <c r="C45" s="620"/>
      <c r="D45" s="620"/>
      <c r="E45" s="620"/>
      <c r="F45" s="557"/>
      <c r="G45" s="424"/>
      <c r="H45" s="424"/>
    </row>
    <row r="46" spans="1:8" ht="12">
      <c r="A46" s="313"/>
      <c r="B46" s="423"/>
      <c r="C46" s="424"/>
      <c r="D46" s="424"/>
      <c r="E46" s="425"/>
      <c r="F46" s="557"/>
      <c r="G46" s="424"/>
      <c r="H46" s="424"/>
    </row>
    <row r="47" spans="1:8" ht="12">
      <c r="A47" s="313"/>
      <c r="B47" s="423"/>
      <c r="C47" s="424"/>
      <c r="D47" s="424"/>
      <c r="E47" s="425"/>
      <c r="F47" s="557"/>
      <c r="G47" s="424"/>
      <c r="H47" s="424"/>
    </row>
    <row r="48" spans="1:15" ht="12">
      <c r="A48" s="500" t="s">
        <v>272</v>
      </c>
      <c r="B48" s="573">
        <v>43250</v>
      </c>
      <c r="C48" s="426" t="s">
        <v>383</v>
      </c>
      <c r="D48" s="615"/>
      <c r="E48" s="615"/>
      <c r="F48" s="615"/>
      <c r="G48" s="615"/>
      <c r="H48" s="615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4"/>
      <c r="D49" s="424"/>
      <c r="E49" s="557"/>
      <c r="F49" s="557"/>
      <c r="G49" s="560"/>
      <c r="H49" s="560"/>
    </row>
    <row r="50" spans="1:8" ht="12.75" customHeight="1">
      <c r="A50" s="558"/>
      <c r="B50" s="559"/>
      <c r="C50" s="427" t="s">
        <v>783</v>
      </c>
      <c r="D50" s="616"/>
      <c r="E50" s="616"/>
      <c r="F50" s="616"/>
      <c r="G50" s="616"/>
      <c r="H50" s="616"/>
    </row>
    <row r="51" spans="1:8" ht="12">
      <c r="A51" s="561"/>
      <c r="B51" s="557"/>
      <c r="C51" s="424"/>
      <c r="D51" s="424"/>
      <c r="E51" s="557"/>
      <c r="F51" s="557"/>
      <c r="G51" s="560"/>
      <c r="H51" s="560"/>
    </row>
    <row r="52" spans="1:8" ht="12">
      <c r="A52" s="561"/>
      <c r="B52" s="557"/>
      <c r="C52" s="424"/>
      <c r="D52" s="424"/>
      <c r="E52" s="557"/>
      <c r="F52" s="557"/>
      <c r="G52" s="560"/>
      <c r="H52" s="560"/>
    </row>
    <row r="53" spans="1:8" ht="12">
      <c r="A53" s="561"/>
      <c r="B53" s="557"/>
      <c r="C53" s="424"/>
      <c r="D53" s="424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38:D38 G19:H23 C31:D32 C36:D36 C22:D25 C9:D14 G15:H16 G9:H12 C40:D40 C16:D18 G31: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 C37:D37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2"/>
  <sheetViews>
    <sheetView zoomScale="110" zoomScaleNormal="110" zoomScaleSheetLayoutView="100" zoomScalePageLayoutView="0" workbookViewId="0" topLeftCell="B19">
      <selection activeCell="C34" sqref="C34:D4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0" customWidth="1"/>
    <col min="4" max="4" width="21.25390625" style="540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7"/>
      <c r="B1" s="317"/>
      <c r="C1" s="318"/>
      <c r="D1" s="318"/>
    </row>
    <row r="2" spans="1:6" ht="12">
      <c r="A2" s="319" t="s">
        <v>384</v>
      </c>
      <c r="B2" s="319"/>
      <c r="C2" s="320"/>
      <c r="D2" s="320"/>
      <c r="E2" s="322"/>
      <c r="F2" s="322"/>
    </row>
    <row r="3" spans="1:6" ht="15" customHeight="1">
      <c r="A3" s="465"/>
      <c r="B3" s="465"/>
      <c r="C3" s="466"/>
      <c r="D3" s="466"/>
      <c r="E3" s="323"/>
      <c r="F3" s="323"/>
    </row>
    <row r="4" spans="1:6" ht="15" customHeight="1">
      <c r="A4" s="467" t="s">
        <v>385</v>
      </c>
      <c r="B4" s="467" t="str">
        <f>'справка №1-БАЛАНС'!E3</f>
        <v>"Химимпорт" АД</v>
      </c>
      <c r="C4" s="538" t="s">
        <v>2</v>
      </c>
      <c r="D4" s="538">
        <f>'справка №1-БАЛАНС'!H3</f>
        <v>627519</v>
      </c>
      <c r="E4" s="322"/>
      <c r="F4" s="322"/>
    </row>
    <row r="5" spans="1:4" ht="15">
      <c r="A5" s="467" t="s">
        <v>275</v>
      </c>
      <c r="B5" s="467" t="str">
        <f>'справка №1-БАЛАНС'!E4</f>
        <v>консолидиран</v>
      </c>
      <c r="C5" s="539" t="s">
        <v>4</v>
      </c>
      <c r="D5" s="538" t="str">
        <f>'справка №1-БАЛАНС'!H4</f>
        <v> </v>
      </c>
    </row>
    <row r="6" spans="1:6" ht="12" customHeight="1">
      <c r="A6" s="468" t="s">
        <v>5</v>
      </c>
      <c r="B6" s="503">
        <f>'справка №1-БАЛАНС'!E5</f>
        <v>43190</v>
      </c>
      <c r="C6" s="469"/>
      <c r="D6" s="470" t="s">
        <v>276</v>
      </c>
      <c r="F6" s="324"/>
    </row>
    <row r="7" spans="1:6" ht="33.75" customHeight="1">
      <c r="A7" s="325" t="s">
        <v>386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387</v>
      </c>
      <c r="B9" s="330"/>
      <c r="C9" s="55"/>
      <c r="D9" s="55"/>
      <c r="E9" s="130"/>
      <c r="F9" s="130"/>
    </row>
    <row r="10" spans="1:6" ht="12">
      <c r="A10" s="331" t="s">
        <v>388</v>
      </c>
      <c r="B10" s="332" t="s">
        <v>389</v>
      </c>
      <c r="C10" s="54">
        <v>10989075</v>
      </c>
      <c r="D10" s="54">
        <v>9778345</v>
      </c>
      <c r="E10" s="130"/>
      <c r="F10" s="130"/>
    </row>
    <row r="11" spans="1:13" ht="12">
      <c r="A11" s="331" t="s">
        <v>390</v>
      </c>
      <c r="B11" s="332" t="s">
        <v>391</v>
      </c>
      <c r="C11" s="54">
        <v>-10848806</v>
      </c>
      <c r="D11" s="54">
        <v>-9657157</v>
      </c>
      <c r="E11" s="321"/>
      <c r="F11" s="321"/>
      <c r="G11" s="133"/>
      <c r="H11" s="133"/>
      <c r="I11" s="133"/>
      <c r="J11" s="133"/>
      <c r="K11" s="133"/>
      <c r="L11" s="133"/>
      <c r="M11" s="133"/>
    </row>
    <row r="12" spans="1:13" ht="12">
      <c r="A12" s="331" t="s">
        <v>392</v>
      </c>
      <c r="B12" s="332" t="s">
        <v>393</v>
      </c>
      <c r="C12" s="54">
        <v>-47158</v>
      </c>
      <c r="D12" s="54">
        <v>-39911</v>
      </c>
      <c r="E12" s="321"/>
      <c r="F12" s="321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1" t="s">
        <v>394</v>
      </c>
      <c r="B13" s="332" t="s">
        <v>395</v>
      </c>
      <c r="C13" s="54">
        <v>-28316</v>
      </c>
      <c r="D13" s="54">
        <v>-23267</v>
      </c>
      <c r="E13" s="321"/>
      <c r="F13" s="321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1" t="s">
        <v>396</v>
      </c>
      <c r="B14" s="332" t="s">
        <v>397</v>
      </c>
      <c r="C14" s="54">
        <v>-4493</v>
      </c>
      <c r="D14" s="54">
        <v>-3840</v>
      </c>
      <c r="E14" s="321"/>
      <c r="F14" s="321"/>
      <c r="G14" s="133"/>
      <c r="H14" s="133"/>
      <c r="I14" s="133"/>
      <c r="J14" s="133"/>
      <c r="K14" s="133"/>
      <c r="L14" s="133"/>
      <c r="M14" s="133"/>
    </row>
    <row r="15" spans="1:13" ht="12">
      <c r="A15" s="333" t="s">
        <v>398</v>
      </c>
      <c r="B15" s="332" t="s">
        <v>399</v>
      </c>
      <c r="C15" s="54">
        <v>-945</v>
      </c>
      <c r="D15" s="54">
        <v>-2067</v>
      </c>
      <c r="E15" s="321"/>
      <c r="F15" s="321"/>
      <c r="G15" s="133"/>
      <c r="H15" s="133"/>
      <c r="I15" s="133"/>
      <c r="J15" s="133"/>
      <c r="K15" s="133"/>
      <c r="L15" s="133"/>
      <c r="M15" s="133"/>
    </row>
    <row r="16" spans="1:13" ht="12">
      <c r="A16" s="331" t="s">
        <v>400</v>
      </c>
      <c r="B16" s="332" t="s">
        <v>401</v>
      </c>
      <c r="C16" s="54">
        <v>2054</v>
      </c>
      <c r="D16" s="54">
        <v>3240</v>
      </c>
      <c r="E16" s="321"/>
      <c r="F16" s="321"/>
      <c r="G16" s="133"/>
      <c r="H16" s="133"/>
      <c r="I16" s="133"/>
      <c r="J16" s="133"/>
      <c r="K16" s="133"/>
      <c r="L16" s="133"/>
      <c r="M16" s="133"/>
    </row>
    <row r="17" spans="1:13" ht="12">
      <c r="A17" s="331" t="s">
        <v>402</v>
      </c>
      <c r="B17" s="332" t="s">
        <v>403</v>
      </c>
      <c r="C17" s="54">
        <v>-355</v>
      </c>
      <c r="D17" s="54">
        <v>-1783</v>
      </c>
      <c r="E17" s="321"/>
      <c r="F17" s="321"/>
      <c r="G17" s="133"/>
      <c r="H17" s="133"/>
      <c r="I17" s="133"/>
      <c r="J17" s="133"/>
      <c r="K17" s="133"/>
      <c r="L17" s="133"/>
      <c r="M17" s="133"/>
    </row>
    <row r="18" spans="1:13" ht="12">
      <c r="A18" s="333" t="s">
        <v>404</v>
      </c>
      <c r="B18" s="334" t="s">
        <v>405</v>
      </c>
      <c r="C18" s="54">
        <v>-482</v>
      </c>
      <c r="D18" s="54">
        <v>-337</v>
      </c>
      <c r="E18" s="321"/>
      <c r="F18" s="321"/>
      <c r="G18" s="133"/>
      <c r="H18" s="133"/>
      <c r="I18" s="133"/>
      <c r="J18" s="133"/>
      <c r="K18" s="133"/>
      <c r="L18" s="133"/>
      <c r="M18" s="133"/>
    </row>
    <row r="19" spans="1:13" ht="12">
      <c r="A19" s="331" t="s">
        <v>406</v>
      </c>
      <c r="B19" s="332" t="s">
        <v>407</v>
      </c>
      <c r="C19" s="54">
        <v>2789</v>
      </c>
      <c r="D19" s="54">
        <v>1189</v>
      </c>
      <c r="E19" s="321"/>
      <c r="F19" s="321"/>
      <c r="G19" s="133"/>
      <c r="H19" s="133"/>
      <c r="I19" s="133"/>
      <c r="J19" s="133"/>
      <c r="K19" s="133"/>
      <c r="L19" s="133"/>
      <c r="M19" s="133"/>
    </row>
    <row r="20" spans="1:13" ht="12">
      <c r="A20" s="335" t="s">
        <v>408</v>
      </c>
      <c r="B20" s="336" t="s">
        <v>409</v>
      </c>
      <c r="C20" s="55">
        <f>SUM(C10:C19)</f>
        <v>63363</v>
      </c>
      <c r="D20" s="55">
        <f>SUM(D10:D19)</f>
        <v>54412</v>
      </c>
      <c r="E20" s="321"/>
      <c r="F20" s="321"/>
      <c r="G20" s="133"/>
      <c r="H20" s="133"/>
      <c r="I20" s="133"/>
      <c r="J20" s="133"/>
      <c r="K20" s="133"/>
      <c r="L20" s="133"/>
      <c r="M20" s="133"/>
    </row>
    <row r="21" spans="1:13" ht="12">
      <c r="A21" s="329" t="s">
        <v>410</v>
      </c>
      <c r="B21" s="337"/>
      <c r="C21" s="338"/>
      <c r="D21" s="338"/>
      <c r="E21" s="321"/>
      <c r="F21" s="321"/>
      <c r="G21" s="133"/>
      <c r="H21" s="133"/>
      <c r="I21" s="133"/>
      <c r="J21" s="133"/>
      <c r="K21" s="133"/>
      <c r="L21" s="133"/>
      <c r="M21" s="133"/>
    </row>
    <row r="22" spans="1:13" ht="12">
      <c r="A22" s="331" t="s">
        <v>411</v>
      </c>
      <c r="B22" s="332" t="s">
        <v>412</v>
      </c>
      <c r="C22" s="54">
        <v>-12986</v>
      </c>
      <c r="D22" s="54">
        <v>-2952</v>
      </c>
      <c r="E22" s="321"/>
      <c r="F22" s="321"/>
      <c r="G22" s="133"/>
      <c r="H22" s="133"/>
      <c r="I22" s="133"/>
      <c r="J22" s="133"/>
      <c r="K22" s="133"/>
      <c r="L22" s="133"/>
      <c r="M22" s="133"/>
    </row>
    <row r="23" spans="1:13" ht="12">
      <c r="A23" s="331" t="s">
        <v>413</v>
      </c>
      <c r="B23" s="332" t="s">
        <v>414</v>
      </c>
      <c r="C23" s="54">
        <v>8571</v>
      </c>
      <c r="D23" s="54">
        <v>451</v>
      </c>
      <c r="E23" s="321"/>
      <c r="F23" s="321"/>
      <c r="G23" s="133"/>
      <c r="H23" s="133"/>
      <c r="I23" s="133"/>
      <c r="J23" s="133"/>
      <c r="K23" s="133"/>
      <c r="L23" s="133"/>
      <c r="M23" s="133"/>
    </row>
    <row r="24" spans="1:13" ht="12">
      <c r="A24" s="331" t="s">
        <v>415</v>
      </c>
      <c r="B24" s="332" t="s">
        <v>416</v>
      </c>
      <c r="C24" s="54">
        <v>1253</v>
      </c>
      <c r="D24" s="54">
        <v>15385</v>
      </c>
      <c r="E24" s="321"/>
      <c r="F24" s="321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1" t="s">
        <v>417</v>
      </c>
      <c r="B25" s="332" t="s">
        <v>418</v>
      </c>
      <c r="C25" s="54">
        <v>-1891</v>
      </c>
      <c r="D25" s="54">
        <v>-3153</v>
      </c>
      <c r="E25" s="321"/>
      <c r="F25" s="321"/>
      <c r="G25" s="133"/>
      <c r="H25" s="133"/>
      <c r="I25" s="133"/>
      <c r="J25" s="133"/>
      <c r="K25" s="133"/>
      <c r="L25" s="133"/>
      <c r="M25" s="133"/>
    </row>
    <row r="26" spans="1:13" ht="12">
      <c r="A26" s="331" t="s">
        <v>419</v>
      </c>
      <c r="B26" s="332" t="s">
        <v>420</v>
      </c>
      <c r="C26" s="54">
        <v>13236</v>
      </c>
      <c r="D26" s="54">
        <v>18040</v>
      </c>
      <c r="E26" s="321"/>
      <c r="F26" s="321"/>
      <c r="G26" s="133"/>
      <c r="H26" s="133"/>
      <c r="I26" s="133"/>
      <c r="J26" s="133"/>
      <c r="K26" s="133"/>
      <c r="L26" s="133"/>
      <c r="M26" s="133"/>
    </row>
    <row r="27" spans="1:13" ht="12">
      <c r="A27" s="331" t="s">
        <v>421</v>
      </c>
      <c r="B27" s="332" t="s">
        <v>422</v>
      </c>
      <c r="C27" s="54">
        <v>-196502</v>
      </c>
      <c r="D27" s="54">
        <v>-79571</v>
      </c>
      <c r="E27" s="321"/>
      <c r="F27" s="321"/>
      <c r="G27" s="133"/>
      <c r="H27" s="133"/>
      <c r="I27" s="133"/>
      <c r="J27" s="133"/>
      <c r="K27" s="133"/>
      <c r="L27" s="133"/>
      <c r="M27" s="133"/>
    </row>
    <row r="28" spans="1:13" ht="12">
      <c r="A28" s="331" t="s">
        <v>423</v>
      </c>
      <c r="B28" s="332" t="s">
        <v>424</v>
      </c>
      <c r="C28" s="54">
        <v>260542</v>
      </c>
      <c r="D28" s="54">
        <v>123052</v>
      </c>
      <c r="E28" s="321"/>
      <c r="F28" s="321"/>
      <c r="G28" s="133"/>
      <c r="H28" s="133"/>
      <c r="I28" s="133"/>
      <c r="J28" s="133"/>
      <c r="K28" s="133"/>
      <c r="L28" s="133"/>
      <c r="M28" s="133"/>
    </row>
    <row r="29" spans="1:13" ht="12">
      <c r="A29" s="331" t="s">
        <v>425</v>
      </c>
      <c r="B29" s="332" t="s">
        <v>426</v>
      </c>
      <c r="C29" s="54">
        <v>163</v>
      </c>
      <c r="D29" s="54">
        <v>528</v>
      </c>
      <c r="E29" s="321"/>
      <c r="F29" s="321"/>
      <c r="G29" s="133"/>
      <c r="H29" s="133"/>
      <c r="I29" s="133"/>
      <c r="J29" s="133"/>
      <c r="K29" s="133"/>
      <c r="L29" s="133"/>
      <c r="M29" s="133"/>
    </row>
    <row r="30" spans="1:13" ht="12">
      <c r="A30" s="331" t="s">
        <v>404</v>
      </c>
      <c r="B30" s="332" t="s">
        <v>427</v>
      </c>
      <c r="C30" s="54">
        <v>0</v>
      </c>
      <c r="D30" s="54"/>
      <c r="E30" s="321"/>
      <c r="F30" s="321"/>
      <c r="G30" s="133"/>
      <c r="H30" s="133"/>
      <c r="I30" s="133"/>
      <c r="J30" s="133"/>
      <c r="K30" s="133"/>
      <c r="L30" s="133"/>
      <c r="M30" s="133"/>
    </row>
    <row r="31" spans="1:13" ht="12">
      <c r="A31" s="331" t="s">
        <v>428</v>
      </c>
      <c r="B31" s="332" t="s">
        <v>429</v>
      </c>
      <c r="C31" s="54">
        <v>9423</v>
      </c>
      <c r="D31" s="54">
        <v>-1558</v>
      </c>
      <c r="E31" s="321"/>
      <c r="F31" s="321"/>
      <c r="G31" s="133"/>
      <c r="H31" s="133"/>
      <c r="I31" s="133"/>
      <c r="J31" s="133"/>
      <c r="K31" s="133"/>
      <c r="L31" s="133"/>
      <c r="M31" s="133"/>
    </row>
    <row r="32" spans="1:13" ht="12">
      <c r="A32" s="335" t="s">
        <v>430</v>
      </c>
      <c r="B32" s="336" t="s">
        <v>431</v>
      </c>
      <c r="C32" s="55">
        <f>SUM(C22:C31)</f>
        <v>81809</v>
      </c>
      <c r="D32" s="55">
        <f>SUM(D22:D31)</f>
        <v>70222</v>
      </c>
      <c r="E32" s="321"/>
      <c r="F32" s="321"/>
      <c r="G32" s="133"/>
      <c r="H32" s="133"/>
      <c r="I32" s="133"/>
      <c r="J32" s="133"/>
      <c r="K32" s="133"/>
      <c r="L32" s="133"/>
      <c r="M32" s="133"/>
    </row>
    <row r="33" spans="1:6" ht="12">
      <c r="A33" s="329" t="s">
        <v>432</v>
      </c>
      <c r="B33" s="337"/>
      <c r="C33" s="338"/>
      <c r="D33" s="338"/>
      <c r="E33" s="130"/>
      <c r="F33" s="130"/>
    </row>
    <row r="34" spans="1:6" ht="12">
      <c r="A34" s="331" t="s">
        <v>433</v>
      </c>
      <c r="B34" s="332" t="s">
        <v>434</v>
      </c>
      <c r="C34" s="54"/>
      <c r="D34" s="54"/>
      <c r="E34" s="130"/>
      <c r="F34" s="130"/>
    </row>
    <row r="35" spans="1:6" ht="12">
      <c r="A35" s="333" t="s">
        <v>435</v>
      </c>
      <c r="B35" s="332" t="s">
        <v>436</v>
      </c>
      <c r="C35" s="54">
        <v>-99</v>
      </c>
      <c r="D35" s="54">
        <v>222</v>
      </c>
      <c r="E35" s="130"/>
      <c r="F35" s="130"/>
    </row>
    <row r="36" spans="1:6" ht="12">
      <c r="A36" s="331" t="s">
        <v>437</v>
      </c>
      <c r="B36" s="332" t="s">
        <v>438</v>
      </c>
      <c r="C36" s="54">
        <v>11176</v>
      </c>
      <c r="D36" s="54">
        <v>5518</v>
      </c>
      <c r="E36" s="130"/>
      <c r="F36" s="130"/>
    </row>
    <row r="37" spans="1:6" ht="12">
      <c r="A37" s="331" t="s">
        <v>439</v>
      </c>
      <c r="B37" s="332" t="s">
        <v>440</v>
      </c>
      <c r="C37" s="54">
        <v>-22057</v>
      </c>
      <c r="D37" s="54">
        <v>-14154</v>
      </c>
      <c r="E37" s="130"/>
      <c r="F37" s="130"/>
    </row>
    <row r="38" spans="1:6" ht="12">
      <c r="A38" s="331" t="s">
        <v>441</v>
      </c>
      <c r="B38" s="332" t="s">
        <v>442</v>
      </c>
      <c r="C38" s="54">
        <v>-296</v>
      </c>
      <c r="D38" s="54">
        <v>-414</v>
      </c>
      <c r="E38" s="130"/>
      <c r="F38" s="130"/>
    </row>
    <row r="39" spans="1:6" ht="12">
      <c r="A39" s="331" t="s">
        <v>443</v>
      </c>
      <c r="B39" s="332" t="s">
        <v>444</v>
      </c>
      <c r="C39" s="54">
        <v>-2360</v>
      </c>
      <c r="D39" s="54">
        <v>-1808</v>
      </c>
      <c r="E39" s="130"/>
      <c r="F39" s="130"/>
    </row>
    <row r="40" spans="1:6" ht="12">
      <c r="A40" s="331" t="s">
        <v>445</v>
      </c>
      <c r="B40" s="332" t="s">
        <v>446</v>
      </c>
      <c r="C40" s="54">
        <v>0</v>
      </c>
      <c r="D40" s="54"/>
      <c r="E40" s="130"/>
      <c r="F40" s="130"/>
    </row>
    <row r="41" spans="1:8" ht="12">
      <c r="A41" s="331" t="s">
        <v>447</v>
      </c>
      <c r="B41" s="332" t="s">
        <v>448</v>
      </c>
      <c r="C41" s="54">
        <v>-576</v>
      </c>
      <c r="D41" s="54">
        <v>-775</v>
      </c>
      <c r="E41" s="130"/>
      <c r="F41" s="130"/>
      <c r="G41" s="133"/>
      <c r="H41" s="133"/>
    </row>
    <row r="42" spans="1:8" ht="12">
      <c r="A42" s="335" t="s">
        <v>449</v>
      </c>
      <c r="B42" s="336" t="s">
        <v>450</v>
      </c>
      <c r="C42" s="55">
        <f>SUM(C34:C41)</f>
        <v>-14212</v>
      </c>
      <c r="D42" s="55">
        <f>SUM(D34:D41)</f>
        <v>-11411</v>
      </c>
      <c r="E42" s="130"/>
      <c r="F42" s="130"/>
      <c r="G42" s="133"/>
      <c r="H42" s="133"/>
    </row>
    <row r="43" spans="1:8" ht="12">
      <c r="A43" s="339" t="s">
        <v>451</v>
      </c>
      <c r="B43" s="336" t="s">
        <v>452</v>
      </c>
      <c r="C43" s="55">
        <f>C42+C32+C20</f>
        <v>130960</v>
      </c>
      <c r="D43" s="55">
        <f>D42+D32+D20</f>
        <v>113223</v>
      </c>
      <c r="E43" s="130"/>
      <c r="F43" s="130"/>
      <c r="G43" s="133"/>
      <c r="H43" s="133"/>
    </row>
    <row r="44" spans="1:8" ht="12">
      <c r="A44" s="329" t="s">
        <v>453</v>
      </c>
      <c r="B44" s="337" t="s">
        <v>454</v>
      </c>
      <c r="C44" s="132">
        <v>2204904</v>
      </c>
      <c r="D44" s="132">
        <v>1767126</v>
      </c>
      <c r="E44" s="130"/>
      <c r="F44" s="130"/>
      <c r="G44" s="133"/>
      <c r="H44" s="133"/>
    </row>
    <row r="45" spans="1:8" ht="12">
      <c r="A45" s="329" t="s">
        <v>455</v>
      </c>
      <c r="B45" s="337" t="s">
        <v>456</v>
      </c>
      <c r="C45" s="55">
        <f>C44+C43</f>
        <v>2335864</v>
      </c>
      <c r="D45" s="55">
        <f>D44+D43</f>
        <v>1880349</v>
      </c>
      <c r="E45" s="130"/>
      <c r="F45" s="130"/>
      <c r="G45" s="133"/>
      <c r="H45" s="133"/>
    </row>
    <row r="46" spans="1:8" ht="12">
      <c r="A46" s="331" t="s">
        <v>457</v>
      </c>
      <c r="B46" s="337" t="s">
        <v>458</v>
      </c>
      <c r="C46" s="56">
        <f>+C45-C47</f>
        <v>2316088</v>
      </c>
      <c r="D46" s="56">
        <v>1873765</v>
      </c>
      <c r="E46" s="130"/>
      <c r="F46" s="130"/>
      <c r="G46" s="133"/>
      <c r="H46" s="133"/>
    </row>
    <row r="47" spans="1:8" ht="12">
      <c r="A47" s="331" t="s">
        <v>459</v>
      </c>
      <c r="B47" s="337" t="s">
        <v>460</v>
      </c>
      <c r="C47" s="56">
        <f>+'справка №1-БАЛАНС'!C89</f>
        <v>19776</v>
      </c>
      <c r="D47" s="56">
        <v>6584</v>
      </c>
      <c r="G47" s="133"/>
      <c r="H47" s="133"/>
    </row>
    <row r="48" spans="1:8" ht="12">
      <c r="A48" s="130"/>
      <c r="B48" s="340"/>
      <c r="C48" s="341"/>
      <c r="D48" s="341"/>
      <c r="G48" s="133"/>
      <c r="H48" s="133"/>
    </row>
    <row r="49" spans="1:8" ht="12">
      <c r="A49" s="434" t="s">
        <v>382</v>
      </c>
      <c r="B49" s="435" t="s">
        <v>925</v>
      </c>
      <c r="C49" s="318"/>
      <c r="D49" s="436"/>
      <c r="E49" s="342"/>
      <c r="G49" s="133"/>
      <c r="H49" s="133"/>
    </row>
    <row r="50" spans="1:8" ht="12">
      <c r="A50" s="574"/>
      <c r="B50" s="435" t="s">
        <v>383</v>
      </c>
      <c r="C50" s="621"/>
      <c r="D50" s="621"/>
      <c r="G50" s="133"/>
      <c r="H50" s="133"/>
    </row>
    <row r="51" spans="1:8" ht="12">
      <c r="A51" s="317"/>
      <c r="B51" s="317"/>
      <c r="C51" s="318"/>
      <c r="D51" s="318"/>
      <c r="G51" s="133"/>
      <c r="H51" s="133"/>
    </row>
    <row r="52" spans="1:8" ht="12">
      <c r="A52" s="317"/>
      <c r="B52" s="435" t="s">
        <v>783</v>
      </c>
      <c r="C52" s="621"/>
      <c r="D52" s="621"/>
      <c r="G52" s="133"/>
      <c r="H52" s="133"/>
    </row>
    <row r="53" spans="1:8" ht="12">
      <c r="A53" s="317"/>
      <c r="B53" s="317"/>
      <c r="C53" s="318"/>
      <c r="D53" s="318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6" right="0.21" top="1.1023622047244095" bottom="0.984251968503937" header="0.5118110236220472" footer="0.5118110236220472"/>
  <pageSetup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W537"/>
  <sheetViews>
    <sheetView zoomScaleSheetLayoutView="100" zoomScalePageLayoutView="0" workbookViewId="0" topLeftCell="C3">
      <selection activeCell="C32" sqref="C32:K32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622" t="s">
        <v>461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624" t="str">
        <f>'справка №1-БАЛАНС'!E3</f>
        <v>"Химимпорт" АД</v>
      </c>
      <c r="C3" s="624"/>
      <c r="D3" s="624"/>
      <c r="E3" s="624"/>
      <c r="F3" s="624"/>
      <c r="G3" s="624"/>
      <c r="H3" s="624"/>
      <c r="I3" s="624"/>
      <c r="J3" s="473"/>
      <c r="K3" s="626" t="s">
        <v>2</v>
      </c>
      <c r="L3" s="626"/>
      <c r="M3" s="475">
        <f>'справка №1-БАЛАНС'!H3</f>
        <v>627519</v>
      </c>
      <c r="N3" s="2"/>
    </row>
    <row r="4" spans="1:15" s="529" customFormat="1" ht="13.5" customHeight="1">
      <c r="A4" s="464" t="s">
        <v>462</v>
      </c>
      <c r="B4" s="624" t="str">
        <f>'справка №1-БАЛАНС'!E4</f>
        <v>консолидиран</v>
      </c>
      <c r="C4" s="624"/>
      <c r="D4" s="624"/>
      <c r="E4" s="624"/>
      <c r="F4" s="624"/>
      <c r="G4" s="624"/>
      <c r="H4" s="624"/>
      <c r="I4" s="624"/>
      <c r="J4" s="136"/>
      <c r="K4" s="627" t="s">
        <v>4</v>
      </c>
      <c r="L4" s="627"/>
      <c r="M4" s="475" t="str">
        <f>'справка №1-БАЛАНС'!H4</f>
        <v> </v>
      </c>
      <c r="N4" s="3"/>
      <c r="O4" s="3"/>
    </row>
    <row r="5" spans="1:14" s="529" customFormat="1" ht="12.75" customHeight="1">
      <c r="A5" s="464" t="s">
        <v>5</v>
      </c>
      <c r="B5" s="628">
        <f>'справка №1-БАЛАНС'!E5</f>
        <v>43190</v>
      </c>
      <c r="C5" s="628"/>
      <c r="D5" s="628"/>
      <c r="E5" s="628"/>
      <c r="F5" s="476"/>
      <c r="G5" s="476"/>
      <c r="H5" s="476"/>
      <c r="I5" s="476"/>
      <c r="J5" s="476"/>
      <c r="K5" s="477"/>
      <c r="L5" s="324"/>
      <c r="M5" s="478" t="s">
        <v>6</v>
      </c>
      <c r="N5" s="4"/>
    </row>
    <row r="6" spans="1:14" s="530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0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0" customFormat="1" ht="22.5" customHeight="1">
      <c r="A8" s="204"/>
      <c r="B8" s="531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2"/>
      <c r="K8" s="179"/>
      <c r="L8" s="179"/>
      <c r="M8" s="181"/>
      <c r="N8" s="135"/>
    </row>
    <row r="9" spans="1:14" s="530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0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227236</v>
      </c>
      <c r="D11" s="58">
        <f>'справка №1-БАЛАНС'!H19</f>
        <v>247129</v>
      </c>
      <c r="E11" s="58">
        <f>'справка №1-БАЛАНС'!H20</f>
        <v>17404</v>
      </c>
      <c r="F11" s="58">
        <f>'справка №1-БАЛАНС'!H22</f>
        <v>98067</v>
      </c>
      <c r="G11" s="58">
        <f>'справка №1-БАЛАНС'!H23</f>
        <v>0</v>
      </c>
      <c r="H11" s="60">
        <v>2973</v>
      </c>
      <c r="I11" s="58">
        <f>'справка №1-БАЛАНС'!H28+'справка №1-БАЛАНС'!H31</f>
        <v>803693</v>
      </c>
      <c r="J11" s="58">
        <f>'справка №1-БАЛАНС'!H29+'справка №1-БАЛАНС'!H32</f>
        <v>0</v>
      </c>
      <c r="K11" s="60">
        <v>0</v>
      </c>
      <c r="L11" s="343">
        <f>SUM(C11:K11)</f>
        <v>1396502</v>
      </c>
      <c r="M11" s="58">
        <f>'справка №1-БАЛАНС'!H39</f>
        <v>276746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3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3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3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227236</v>
      </c>
      <c r="D15" s="61">
        <f aca="true" t="shared" si="2" ref="D15:M15">D11+D12</f>
        <v>247129</v>
      </c>
      <c r="E15" s="61">
        <f t="shared" si="2"/>
        <v>17404</v>
      </c>
      <c r="F15" s="61">
        <f t="shared" si="2"/>
        <v>98067</v>
      </c>
      <c r="G15" s="61">
        <f t="shared" si="2"/>
        <v>0</v>
      </c>
      <c r="H15" s="61">
        <f t="shared" si="2"/>
        <v>2973</v>
      </c>
      <c r="I15" s="61">
        <f t="shared" si="2"/>
        <v>803693</v>
      </c>
      <c r="J15" s="61">
        <f t="shared" si="2"/>
        <v>0</v>
      </c>
      <c r="K15" s="61">
        <f t="shared" si="2"/>
        <v>0</v>
      </c>
      <c r="L15" s="343">
        <f t="shared" si="1"/>
        <v>1396502</v>
      </c>
      <c r="M15" s="61">
        <f t="shared" si="2"/>
        <v>276746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32409</v>
      </c>
      <c r="J16" s="344">
        <f>+'справка №1-БАЛАНС'!G32</f>
        <v>0</v>
      </c>
      <c r="K16" s="60"/>
      <c r="L16" s="343">
        <f t="shared" si="1"/>
        <v>32409</v>
      </c>
      <c r="M16" s="60">
        <v>6458</v>
      </c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29197</v>
      </c>
      <c r="G17" s="62">
        <f t="shared" si="3"/>
        <v>0</v>
      </c>
      <c r="H17" s="62">
        <f t="shared" si="3"/>
        <v>0</v>
      </c>
      <c r="I17" s="62">
        <f t="shared" si="3"/>
        <v>-29197</v>
      </c>
      <c r="J17" s="62">
        <f>J18+J19</f>
        <v>0</v>
      </c>
      <c r="K17" s="62">
        <f t="shared" si="3"/>
        <v>0</v>
      </c>
      <c r="L17" s="343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>
        <v>0</v>
      </c>
      <c r="J18" s="60"/>
      <c r="K18" s="60"/>
      <c r="L18" s="343">
        <f t="shared" si="1"/>
        <v>0</v>
      </c>
      <c r="M18" s="60">
        <v>0</v>
      </c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>
        <v>29197</v>
      </c>
      <c r="G19" s="60"/>
      <c r="H19" s="60"/>
      <c r="I19" s="60">
        <v>-29197</v>
      </c>
      <c r="J19" s="60"/>
      <c r="K19" s="60"/>
      <c r="L19" s="343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3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3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3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3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-570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3">
        <f t="shared" si="1"/>
        <v>-570</v>
      </c>
      <c r="M24" s="59">
        <f t="shared" si="5"/>
        <v>-159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503</v>
      </c>
      <c r="B25" s="8" t="s">
        <v>509</v>
      </c>
      <c r="C25" s="185">
        <v>0</v>
      </c>
      <c r="D25" s="185">
        <v>0</v>
      </c>
      <c r="E25" s="185">
        <v>0</v>
      </c>
      <c r="F25" s="185"/>
      <c r="G25" s="185"/>
      <c r="H25" s="185"/>
      <c r="I25" s="185"/>
      <c r="J25" s="185"/>
      <c r="K25" s="185"/>
      <c r="L25" s="343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>
        <v>570</v>
      </c>
      <c r="F26" s="185"/>
      <c r="G26" s="185"/>
      <c r="H26" s="185"/>
      <c r="I26" s="185"/>
      <c r="J26" s="185"/>
      <c r="K26" s="185"/>
      <c r="L26" s="343">
        <f t="shared" si="1"/>
        <v>570</v>
      </c>
      <c r="M26" s="185">
        <v>159</v>
      </c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3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>
        <v>-44</v>
      </c>
      <c r="D28" s="60">
        <v>-55</v>
      </c>
      <c r="E28" s="60">
        <v>0</v>
      </c>
      <c r="F28" s="60">
        <v>-4712</v>
      </c>
      <c r="G28" s="60"/>
      <c r="H28" s="60">
        <v>0</v>
      </c>
      <c r="I28" s="60">
        <f>-26420+4799</f>
        <v>-21621</v>
      </c>
      <c r="J28" s="60"/>
      <c r="K28" s="60"/>
      <c r="L28" s="343">
        <f t="shared" si="1"/>
        <v>-26432</v>
      </c>
      <c r="M28" s="60">
        <f>-2530-5460</f>
        <v>-7990</v>
      </c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227192</v>
      </c>
      <c r="D29" s="59">
        <f aca="true" t="shared" si="6" ref="D29:M29">D17+D20+D21+D24+D28+D27+D15+D16</f>
        <v>247074</v>
      </c>
      <c r="E29" s="59">
        <f t="shared" si="6"/>
        <v>16834</v>
      </c>
      <c r="F29" s="59">
        <f t="shared" si="6"/>
        <v>122552</v>
      </c>
      <c r="G29" s="59">
        <f t="shared" si="6"/>
        <v>0</v>
      </c>
      <c r="H29" s="59">
        <f t="shared" si="6"/>
        <v>2973</v>
      </c>
      <c r="I29" s="59">
        <f t="shared" si="6"/>
        <v>785284</v>
      </c>
      <c r="J29" s="59">
        <f t="shared" si="6"/>
        <v>0</v>
      </c>
      <c r="K29" s="59">
        <f t="shared" si="6"/>
        <v>0</v>
      </c>
      <c r="L29" s="343">
        <f t="shared" si="1"/>
        <v>1401909</v>
      </c>
      <c r="M29" s="59">
        <f t="shared" si="6"/>
        <v>275055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3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3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227192</v>
      </c>
      <c r="D32" s="59">
        <f t="shared" si="7"/>
        <v>247074</v>
      </c>
      <c r="E32" s="59">
        <f t="shared" si="7"/>
        <v>16834</v>
      </c>
      <c r="F32" s="59">
        <f t="shared" si="7"/>
        <v>122552</v>
      </c>
      <c r="G32" s="59">
        <f t="shared" si="7"/>
        <v>0</v>
      </c>
      <c r="H32" s="59">
        <f t="shared" si="7"/>
        <v>2973</v>
      </c>
      <c r="I32" s="59">
        <f t="shared" si="7"/>
        <v>785284</v>
      </c>
      <c r="J32" s="59">
        <f t="shared" si="7"/>
        <v>0</v>
      </c>
      <c r="K32" s="59">
        <f t="shared" si="7"/>
        <v>0</v>
      </c>
      <c r="L32" s="343">
        <f t="shared" si="1"/>
        <v>1401909</v>
      </c>
      <c r="M32" s="59">
        <f>M29+M30+M31</f>
        <v>275055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625" t="s">
        <v>862</v>
      </c>
      <c r="B35" s="625"/>
      <c r="C35" s="625"/>
      <c r="D35" s="625"/>
      <c r="E35" s="625"/>
      <c r="F35" s="625"/>
      <c r="G35" s="625"/>
      <c r="H35" s="625"/>
      <c r="I35" s="625"/>
      <c r="J35" s="625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4.25">
      <c r="A38" s="45" t="s">
        <v>926</v>
      </c>
      <c r="B38" s="19"/>
      <c r="C38" s="15"/>
      <c r="D38" s="623" t="s">
        <v>523</v>
      </c>
      <c r="E38" s="623"/>
      <c r="F38" s="623"/>
      <c r="G38" s="623"/>
      <c r="H38" s="623"/>
      <c r="I38" s="623"/>
      <c r="J38" s="15" t="s">
        <v>857</v>
      </c>
      <c r="K38" s="15"/>
      <c r="L38" s="623"/>
      <c r="M38" s="623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232"/>
  <sheetViews>
    <sheetView zoomScaleSheetLayoutView="100" zoomScalePageLayoutView="0" workbookViewId="0" topLeftCell="I7">
      <selection activeCell="R40" sqref="R4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8"/>
      <c r="B1" s="349" t="s">
        <v>524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33" t="s">
        <v>385</v>
      </c>
      <c r="B2" s="634"/>
      <c r="C2" s="635" t="str">
        <f>'справка №1-БАЛАНС'!E3</f>
        <v>"Химимпорт" АД</v>
      </c>
      <c r="D2" s="635"/>
      <c r="E2" s="635"/>
      <c r="F2" s="635"/>
      <c r="G2" s="635"/>
      <c r="H2" s="635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627519</v>
      </c>
      <c r="P2" s="480"/>
      <c r="Q2" s="480"/>
      <c r="R2" s="523"/>
    </row>
    <row r="3" spans="1:18" ht="15">
      <c r="A3" s="633" t="s">
        <v>5</v>
      </c>
      <c r="B3" s="634"/>
      <c r="C3" s="636">
        <f>'справка №1-БАЛАНС'!E5</f>
        <v>43190</v>
      </c>
      <c r="D3" s="636"/>
      <c r="E3" s="636"/>
      <c r="F3" s="482"/>
      <c r="G3" s="482"/>
      <c r="H3" s="482"/>
      <c r="I3" s="482"/>
      <c r="J3" s="482"/>
      <c r="K3" s="482"/>
      <c r="L3" s="482"/>
      <c r="M3" s="639" t="s">
        <v>4</v>
      </c>
      <c r="N3" s="639"/>
      <c r="O3" s="479" t="str">
        <f>'справка №1-БАЛАНС'!H4</f>
        <v> </v>
      </c>
      <c r="P3" s="483"/>
      <c r="Q3" s="483"/>
      <c r="R3" s="524"/>
    </row>
    <row r="4" spans="1:18" ht="12">
      <c r="A4" s="484" t="s">
        <v>525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526</v>
      </c>
    </row>
    <row r="5" spans="1:18" s="100" customFormat="1" ht="30.75" customHeight="1">
      <c r="A5" s="629" t="s">
        <v>465</v>
      </c>
      <c r="B5" s="630"/>
      <c r="C5" s="637" t="s">
        <v>8</v>
      </c>
      <c r="D5" s="356" t="s">
        <v>527</v>
      </c>
      <c r="E5" s="356"/>
      <c r="F5" s="356"/>
      <c r="G5" s="356"/>
      <c r="H5" s="356" t="s">
        <v>528</v>
      </c>
      <c r="I5" s="356"/>
      <c r="J5" s="642" t="s">
        <v>529</v>
      </c>
      <c r="K5" s="356" t="s">
        <v>530</v>
      </c>
      <c r="L5" s="356"/>
      <c r="M5" s="356"/>
      <c r="N5" s="356"/>
      <c r="O5" s="356" t="s">
        <v>528</v>
      </c>
      <c r="P5" s="356"/>
      <c r="Q5" s="642" t="s">
        <v>531</v>
      </c>
      <c r="R5" s="642" t="s">
        <v>532</v>
      </c>
    </row>
    <row r="6" spans="1:18" s="100" customFormat="1" ht="48">
      <c r="A6" s="631"/>
      <c r="B6" s="632"/>
      <c r="C6" s="638"/>
      <c r="D6" s="357" t="s">
        <v>533</v>
      </c>
      <c r="E6" s="357" t="s">
        <v>534</v>
      </c>
      <c r="F6" s="357" t="s">
        <v>535</v>
      </c>
      <c r="G6" s="357" t="s">
        <v>536</v>
      </c>
      <c r="H6" s="357" t="s">
        <v>537</v>
      </c>
      <c r="I6" s="357" t="s">
        <v>538</v>
      </c>
      <c r="J6" s="643"/>
      <c r="K6" s="357" t="s">
        <v>533</v>
      </c>
      <c r="L6" s="357" t="s">
        <v>539</v>
      </c>
      <c r="M6" s="357" t="s">
        <v>540</v>
      </c>
      <c r="N6" s="357" t="s">
        <v>541</v>
      </c>
      <c r="O6" s="357" t="s">
        <v>537</v>
      </c>
      <c r="P6" s="357" t="s">
        <v>538</v>
      </c>
      <c r="Q6" s="643"/>
      <c r="R6" s="643"/>
    </row>
    <row r="7" spans="1:18" s="100" customFormat="1" ht="12">
      <c r="A7" s="359" t="s">
        <v>542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543</v>
      </c>
      <c r="B8" s="362" t="s">
        <v>544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545</v>
      </c>
      <c r="B9" s="365" t="s">
        <v>546</v>
      </c>
      <c r="C9" s="366" t="s">
        <v>547</v>
      </c>
      <c r="D9" s="189">
        <v>51382</v>
      </c>
      <c r="E9" s="189"/>
      <c r="F9" s="189">
        <v>1</v>
      </c>
      <c r="G9" s="74">
        <f>D9+E9-F9</f>
        <v>51381</v>
      </c>
      <c r="H9" s="65"/>
      <c r="I9" s="65"/>
      <c r="J9" s="74">
        <f aca="true" t="shared" si="0" ref="J9:J25">G9+H9-I9</f>
        <v>51381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1" ref="Q9:Q15">N9+O9-P9</f>
        <v>0</v>
      </c>
      <c r="R9" s="74">
        <f aca="true" t="shared" si="2" ref="R9:R15">J9-Q9</f>
        <v>51381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5" t="s">
        <v>548</v>
      </c>
      <c r="B10" s="365" t="s">
        <v>549</v>
      </c>
      <c r="C10" s="366" t="s">
        <v>550</v>
      </c>
      <c r="D10" s="189">
        <v>132104</v>
      </c>
      <c r="E10" s="189"/>
      <c r="F10" s="189">
        <v>85</v>
      </c>
      <c r="G10" s="74">
        <f aca="true" t="shared" si="3" ref="G10:G39">D10+E10-F10</f>
        <v>132019</v>
      </c>
      <c r="H10" s="65"/>
      <c r="I10" s="65"/>
      <c r="J10" s="74">
        <f t="shared" si="0"/>
        <v>132019</v>
      </c>
      <c r="K10" s="65">
        <v>24873</v>
      </c>
      <c r="L10" s="65">
        <v>1010</v>
      </c>
      <c r="M10" s="65">
        <v>22</v>
      </c>
      <c r="N10" s="74">
        <f aca="true" t="shared" si="4" ref="N10:N39">K10+L10-M10</f>
        <v>25861</v>
      </c>
      <c r="O10" s="65"/>
      <c r="P10" s="65"/>
      <c r="Q10" s="74">
        <f t="shared" si="1"/>
        <v>25861</v>
      </c>
      <c r="R10" s="74">
        <f t="shared" si="2"/>
        <v>106158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5" t="s">
        <v>551</v>
      </c>
      <c r="B11" s="365" t="s">
        <v>552</v>
      </c>
      <c r="C11" s="366" t="s">
        <v>553</v>
      </c>
      <c r="D11" s="189">
        <v>182354</v>
      </c>
      <c r="E11" s="189">
        <v>713</v>
      </c>
      <c r="F11" s="189">
        <v>224</v>
      </c>
      <c r="G11" s="74">
        <f t="shared" si="3"/>
        <v>182843</v>
      </c>
      <c r="H11" s="65"/>
      <c r="I11" s="65"/>
      <c r="J11" s="74">
        <f t="shared" si="0"/>
        <v>182843</v>
      </c>
      <c r="K11" s="65">
        <v>117446</v>
      </c>
      <c r="L11" s="65">
        <v>2418</v>
      </c>
      <c r="M11" s="65">
        <v>222</v>
      </c>
      <c r="N11" s="74">
        <f t="shared" si="4"/>
        <v>119642</v>
      </c>
      <c r="O11" s="65"/>
      <c r="P11" s="65"/>
      <c r="Q11" s="74">
        <f t="shared" si="1"/>
        <v>119642</v>
      </c>
      <c r="R11" s="74">
        <f t="shared" si="2"/>
        <v>63201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5" t="s">
        <v>554</v>
      </c>
      <c r="B12" s="365" t="s">
        <v>555</v>
      </c>
      <c r="C12" s="366" t="s">
        <v>556</v>
      </c>
      <c r="D12" s="189">
        <v>85229</v>
      </c>
      <c r="E12" s="189">
        <v>174</v>
      </c>
      <c r="F12" s="189">
        <v>217</v>
      </c>
      <c r="G12" s="74">
        <f t="shared" si="3"/>
        <v>85186</v>
      </c>
      <c r="H12" s="65"/>
      <c r="I12" s="65"/>
      <c r="J12" s="74">
        <f t="shared" si="0"/>
        <v>85186</v>
      </c>
      <c r="K12" s="65">
        <v>33741</v>
      </c>
      <c r="L12" s="65">
        <v>369</v>
      </c>
      <c r="M12" s="65">
        <v>180</v>
      </c>
      <c r="N12" s="74">
        <f t="shared" si="4"/>
        <v>33930</v>
      </c>
      <c r="O12" s="65"/>
      <c r="P12" s="65"/>
      <c r="Q12" s="74">
        <f t="shared" si="1"/>
        <v>33930</v>
      </c>
      <c r="R12" s="74">
        <f t="shared" si="2"/>
        <v>51256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5" t="s">
        <v>557</v>
      </c>
      <c r="B13" s="365" t="s">
        <v>558</v>
      </c>
      <c r="C13" s="366" t="s">
        <v>559</v>
      </c>
      <c r="D13" s="189">
        <v>125850</v>
      </c>
      <c r="E13" s="189">
        <v>1033</v>
      </c>
      <c r="F13" s="189">
        <v>406</v>
      </c>
      <c r="G13" s="74">
        <f t="shared" si="3"/>
        <v>126477</v>
      </c>
      <c r="H13" s="65"/>
      <c r="I13" s="65"/>
      <c r="J13" s="74">
        <f t="shared" si="0"/>
        <v>126477</v>
      </c>
      <c r="K13" s="65">
        <v>55439</v>
      </c>
      <c r="L13" s="65">
        <v>1453</v>
      </c>
      <c r="M13" s="65">
        <v>362</v>
      </c>
      <c r="N13" s="74">
        <f t="shared" si="4"/>
        <v>56530</v>
      </c>
      <c r="O13" s="65"/>
      <c r="P13" s="65"/>
      <c r="Q13" s="74">
        <f t="shared" si="1"/>
        <v>56530</v>
      </c>
      <c r="R13" s="74">
        <f t="shared" si="2"/>
        <v>69947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5" t="s">
        <v>560</v>
      </c>
      <c r="B14" s="365" t="s">
        <v>561</v>
      </c>
      <c r="C14" s="366" t="s">
        <v>562</v>
      </c>
      <c r="D14" s="189">
        <v>0</v>
      </c>
      <c r="E14" s="189"/>
      <c r="F14" s="189"/>
      <c r="G14" s="74">
        <f t="shared" si="3"/>
        <v>0</v>
      </c>
      <c r="H14" s="65"/>
      <c r="I14" s="65"/>
      <c r="J14" s="74">
        <f t="shared" si="0"/>
        <v>0</v>
      </c>
      <c r="K14" s="65">
        <v>0</v>
      </c>
      <c r="L14" s="65"/>
      <c r="M14" s="65"/>
      <c r="N14" s="74">
        <f t="shared" si="4"/>
        <v>0</v>
      </c>
      <c r="O14" s="65"/>
      <c r="P14" s="65"/>
      <c r="Q14" s="74">
        <f t="shared" si="1"/>
        <v>0</v>
      </c>
      <c r="R14" s="74">
        <f t="shared" si="2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4">
      <c r="A15" s="452" t="s">
        <v>858</v>
      </c>
      <c r="B15" s="373" t="s">
        <v>859</v>
      </c>
      <c r="C15" s="453" t="s">
        <v>860</v>
      </c>
      <c r="D15" s="454">
        <v>40731</v>
      </c>
      <c r="E15" s="454">
        <v>1800</v>
      </c>
      <c r="F15" s="454">
        <v>1402</v>
      </c>
      <c r="G15" s="74">
        <f t="shared" si="3"/>
        <v>41129</v>
      </c>
      <c r="H15" s="455"/>
      <c r="I15" s="455"/>
      <c r="J15" s="74">
        <f t="shared" si="0"/>
        <v>41129</v>
      </c>
      <c r="K15" s="455">
        <v>0</v>
      </c>
      <c r="L15" s="455"/>
      <c r="M15" s="455"/>
      <c r="N15" s="74">
        <f t="shared" si="4"/>
        <v>0</v>
      </c>
      <c r="O15" s="455"/>
      <c r="P15" s="455"/>
      <c r="Q15" s="74">
        <f t="shared" si="1"/>
        <v>0</v>
      </c>
      <c r="R15" s="74">
        <f t="shared" si="2"/>
        <v>41129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5" t="s">
        <v>563</v>
      </c>
      <c r="B16" s="193" t="s">
        <v>564</v>
      </c>
      <c r="C16" s="366" t="s">
        <v>565</v>
      </c>
      <c r="D16" s="189">
        <v>98769</v>
      </c>
      <c r="E16" s="189">
        <f>3+729</f>
        <v>732</v>
      </c>
      <c r="F16" s="189">
        <v>1</v>
      </c>
      <c r="G16" s="74">
        <f t="shared" si="3"/>
        <v>99500</v>
      </c>
      <c r="H16" s="65"/>
      <c r="I16" s="65"/>
      <c r="J16" s="74">
        <f t="shared" si="0"/>
        <v>99500</v>
      </c>
      <c r="K16" s="65">
        <f>24164+37578</f>
        <v>61742</v>
      </c>
      <c r="L16" s="65">
        <f>319+689</f>
        <v>1008</v>
      </c>
      <c r="M16" s="65"/>
      <c r="N16" s="74">
        <f t="shared" si="4"/>
        <v>62750</v>
      </c>
      <c r="O16" s="65"/>
      <c r="P16" s="65"/>
      <c r="Q16" s="74">
        <f aca="true" t="shared" si="5" ref="Q16:Q25">N16+O16-P16</f>
        <v>62750</v>
      </c>
      <c r="R16" s="74">
        <f aca="true" t="shared" si="6" ref="R16:R25">J16-Q16</f>
        <v>36750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5"/>
      <c r="B17" s="367" t="s">
        <v>566</v>
      </c>
      <c r="C17" s="368" t="s">
        <v>567</v>
      </c>
      <c r="D17" s="194">
        <f>SUM(D9:D16)</f>
        <v>716419</v>
      </c>
      <c r="E17" s="194">
        <f>SUM(E9:E16)</f>
        <v>4452</v>
      </c>
      <c r="F17" s="194">
        <f>SUM(F9:F16)</f>
        <v>2336</v>
      </c>
      <c r="G17" s="74">
        <f t="shared" si="3"/>
        <v>718535</v>
      </c>
      <c r="H17" s="75">
        <f>SUM(H9:H16)</f>
        <v>0</v>
      </c>
      <c r="I17" s="75">
        <f>SUM(I9:I16)</f>
        <v>0</v>
      </c>
      <c r="J17" s="74">
        <f t="shared" si="0"/>
        <v>718535</v>
      </c>
      <c r="K17" s="75">
        <f>SUM(K9:K16)</f>
        <v>293241</v>
      </c>
      <c r="L17" s="75">
        <f>SUM(L9:L16)</f>
        <v>6258</v>
      </c>
      <c r="M17" s="75">
        <f>SUM(M9:M16)</f>
        <v>786</v>
      </c>
      <c r="N17" s="74">
        <f t="shared" si="4"/>
        <v>298713</v>
      </c>
      <c r="O17" s="75">
        <f>SUM(O9:O16)</f>
        <v>0</v>
      </c>
      <c r="P17" s="75">
        <f>SUM(P9:P16)</f>
        <v>0</v>
      </c>
      <c r="Q17" s="74">
        <f t="shared" si="5"/>
        <v>298713</v>
      </c>
      <c r="R17" s="74">
        <f t="shared" si="6"/>
        <v>419822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69" t="s">
        <v>568</v>
      </c>
      <c r="B18" s="370" t="s">
        <v>569</v>
      </c>
      <c r="C18" s="368" t="s">
        <v>570</v>
      </c>
      <c r="D18" s="187">
        <v>403394</v>
      </c>
      <c r="E18" s="187">
        <v>10724</v>
      </c>
      <c r="F18" s="187">
        <v>4142</v>
      </c>
      <c r="G18" s="74">
        <f t="shared" si="3"/>
        <v>409976</v>
      </c>
      <c r="H18" s="63"/>
      <c r="I18" s="63"/>
      <c r="J18" s="74">
        <f t="shared" si="0"/>
        <v>409976</v>
      </c>
      <c r="K18" s="63">
        <v>0</v>
      </c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409976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1" t="s">
        <v>571</v>
      </c>
      <c r="B19" s="370" t="s">
        <v>572</v>
      </c>
      <c r="C19" s="368" t="s">
        <v>573</v>
      </c>
      <c r="D19" s="187">
        <v>0</v>
      </c>
      <c r="E19" s="187"/>
      <c r="F19" s="187"/>
      <c r="G19" s="74">
        <f t="shared" si="3"/>
        <v>0</v>
      </c>
      <c r="H19" s="63"/>
      <c r="I19" s="63"/>
      <c r="J19" s="74">
        <f t="shared" si="0"/>
        <v>0</v>
      </c>
      <c r="K19" s="63">
        <v>0</v>
      </c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2" t="s">
        <v>574</v>
      </c>
      <c r="B20" s="362" t="s">
        <v>575</v>
      </c>
      <c r="C20" s="366"/>
      <c r="D20" s="188"/>
      <c r="E20" s="188"/>
      <c r="F20" s="188"/>
      <c r="G20" s="74">
        <f t="shared" si="3"/>
        <v>0</v>
      </c>
      <c r="H20" s="64"/>
      <c r="I20" s="64"/>
      <c r="J20" s="74">
        <f t="shared" si="0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5" t="s">
        <v>545</v>
      </c>
      <c r="B21" s="365" t="s">
        <v>576</v>
      </c>
      <c r="C21" s="366" t="s">
        <v>577</v>
      </c>
      <c r="D21" s="189">
        <v>83910</v>
      </c>
      <c r="E21" s="189">
        <v>99</v>
      </c>
      <c r="F21" s="189">
        <f>8+1922</f>
        <v>1930</v>
      </c>
      <c r="G21" s="74">
        <f t="shared" si="3"/>
        <v>82079</v>
      </c>
      <c r="H21" s="65"/>
      <c r="I21" s="65"/>
      <c r="J21" s="74">
        <f t="shared" si="0"/>
        <v>82079</v>
      </c>
      <c r="K21" s="65">
        <f>36909+6485+0</f>
        <v>43394</v>
      </c>
      <c r="L21" s="65">
        <f>345+115</f>
        <v>460</v>
      </c>
      <c r="M21" s="65"/>
      <c r="N21" s="74">
        <f t="shared" si="4"/>
        <v>43854</v>
      </c>
      <c r="O21" s="65"/>
      <c r="P21" s="65"/>
      <c r="Q21" s="74">
        <f t="shared" si="5"/>
        <v>43854</v>
      </c>
      <c r="R21" s="74">
        <f t="shared" si="6"/>
        <v>38225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5" t="s">
        <v>548</v>
      </c>
      <c r="B22" s="365" t="s">
        <v>578</v>
      </c>
      <c r="C22" s="366" t="s">
        <v>579</v>
      </c>
      <c r="D22" s="189">
        <v>10420</v>
      </c>
      <c r="E22" s="189">
        <v>52</v>
      </c>
      <c r="F22" s="189">
        <v>1</v>
      </c>
      <c r="G22" s="74">
        <f t="shared" si="3"/>
        <v>10471</v>
      </c>
      <c r="H22" s="65"/>
      <c r="I22" s="65"/>
      <c r="J22" s="74">
        <f t="shared" si="0"/>
        <v>10471</v>
      </c>
      <c r="K22" s="65">
        <v>9670</v>
      </c>
      <c r="L22" s="65">
        <v>149</v>
      </c>
      <c r="M22" s="65"/>
      <c r="N22" s="74">
        <f t="shared" si="4"/>
        <v>9819</v>
      </c>
      <c r="O22" s="65"/>
      <c r="P22" s="65"/>
      <c r="Q22" s="74">
        <f t="shared" si="5"/>
        <v>9819</v>
      </c>
      <c r="R22" s="74">
        <f t="shared" si="6"/>
        <v>652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3" t="s">
        <v>551</v>
      </c>
      <c r="B23" s="373" t="s">
        <v>580</v>
      </c>
      <c r="C23" s="366" t="s">
        <v>581</v>
      </c>
      <c r="D23" s="189">
        <v>12770</v>
      </c>
      <c r="E23" s="189">
        <v>17</v>
      </c>
      <c r="F23" s="189"/>
      <c r="G23" s="74">
        <f t="shared" si="3"/>
        <v>12787</v>
      </c>
      <c r="H23" s="65"/>
      <c r="I23" s="65"/>
      <c r="J23" s="74">
        <f t="shared" si="0"/>
        <v>12787</v>
      </c>
      <c r="K23" s="65">
        <v>52</v>
      </c>
      <c r="L23" s="65"/>
      <c r="M23" s="65"/>
      <c r="N23" s="74">
        <f t="shared" si="4"/>
        <v>52</v>
      </c>
      <c r="O23" s="65"/>
      <c r="P23" s="65"/>
      <c r="Q23" s="74">
        <f t="shared" si="5"/>
        <v>52</v>
      </c>
      <c r="R23" s="74">
        <f t="shared" si="6"/>
        <v>12735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5" t="s">
        <v>554</v>
      </c>
      <c r="B24" s="374" t="s">
        <v>564</v>
      </c>
      <c r="C24" s="366" t="s">
        <v>582</v>
      </c>
      <c r="D24" s="189">
        <v>137443</v>
      </c>
      <c r="E24" s="189">
        <v>2220</v>
      </c>
      <c r="F24" s="189">
        <v>680</v>
      </c>
      <c r="G24" s="74">
        <f t="shared" si="3"/>
        <v>138983</v>
      </c>
      <c r="H24" s="65"/>
      <c r="I24" s="65"/>
      <c r="J24" s="74">
        <f t="shared" si="0"/>
        <v>138983</v>
      </c>
      <c r="K24" s="65">
        <f>14505+5181</f>
        <v>19686</v>
      </c>
      <c r="L24" s="65">
        <v>1140</v>
      </c>
      <c r="M24" s="65"/>
      <c r="N24" s="74">
        <f t="shared" si="4"/>
        <v>20826</v>
      </c>
      <c r="O24" s="65"/>
      <c r="P24" s="65"/>
      <c r="Q24" s="74">
        <f t="shared" si="5"/>
        <v>20826</v>
      </c>
      <c r="R24" s="74">
        <f t="shared" si="6"/>
        <v>118157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5"/>
      <c r="B25" s="367" t="s">
        <v>840</v>
      </c>
      <c r="C25" s="375" t="s">
        <v>584</v>
      </c>
      <c r="D25" s="190">
        <f>SUM(D21:D24)</f>
        <v>244543</v>
      </c>
      <c r="E25" s="190">
        <f aca="true" t="shared" si="7" ref="E25:P25">SUM(E21:E24)</f>
        <v>2388</v>
      </c>
      <c r="F25" s="190">
        <f t="shared" si="7"/>
        <v>2611</v>
      </c>
      <c r="G25" s="67">
        <f t="shared" si="3"/>
        <v>244320</v>
      </c>
      <c r="H25" s="66">
        <f t="shared" si="7"/>
        <v>0</v>
      </c>
      <c r="I25" s="66">
        <f t="shared" si="7"/>
        <v>0</v>
      </c>
      <c r="J25" s="67">
        <f t="shared" si="0"/>
        <v>244320</v>
      </c>
      <c r="K25" s="66">
        <f t="shared" si="7"/>
        <v>72802</v>
      </c>
      <c r="L25" s="66">
        <f t="shared" si="7"/>
        <v>1749</v>
      </c>
      <c r="M25" s="66">
        <f t="shared" si="7"/>
        <v>0</v>
      </c>
      <c r="N25" s="67">
        <f t="shared" si="4"/>
        <v>74551</v>
      </c>
      <c r="O25" s="66">
        <f t="shared" si="7"/>
        <v>0</v>
      </c>
      <c r="P25" s="66">
        <f t="shared" si="7"/>
        <v>0</v>
      </c>
      <c r="Q25" s="67">
        <f t="shared" si="5"/>
        <v>74551</v>
      </c>
      <c r="R25" s="67">
        <f t="shared" si="6"/>
        <v>169769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2" t="s">
        <v>585</v>
      </c>
      <c r="B26" s="376" t="s">
        <v>586</v>
      </c>
      <c r="C26" s="377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1"/>
    </row>
    <row r="27" spans="1:28" ht="12">
      <c r="A27" s="365" t="s">
        <v>545</v>
      </c>
      <c r="B27" s="378" t="s">
        <v>853</v>
      </c>
      <c r="C27" s="379" t="s">
        <v>587</v>
      </c>
      <c r="D27" s="192">
        <f>SUM(D28:D31)</f>
        <v>34420</v>
      </c>
      <c r="E27" s="192">
        <f aca="true" t="shared" si="8" ref="E27:P27">SUM(E28:E31)</f>
        <v>948</v>
      </c>
      <c r="F27" s="192">
        <f t="shared" si="8"/>
        <v>1076</v>
      </c>
      <c r="G27" s="71">
        <f t="shared" si="3"/>
        <v>34292</v>
      </c>
      <c r="H27" s="70">
        <f t="shared" si="8"/>
        <v>0</v>
      </c>
      <c r="I27" s="70">
        <f t="shared" si="8"/>
        <v>0</v>
      </c>
      <c r="J27" s="71">
        <f aca="true" t="shared" si="9" ref="J27:J39">G27+H27-I27</f>
        <v>34292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34292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5"/>
      <c r="B28" s="365" t="s">
        <v>106</v>
      </c>
      <c r="C28" s="366" t="s">
        <v>588</v>
      </c>
      <c r="D28" s="189">
        <v>0</v>
      </c>
      <c r="E28" s="189"/>
      <c r="F28" s="189"/>
      <c r="G28" s="74">
        <f t="shared" si="3"/>
        <v>0</v>
      </c>
      <c r="H28" s="65"/>
      <c r="I28" s="65"/>
      <c r="J28" s="74">
        <f t="shared" si="9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5"/>
      <c r="B29" s="365" t="s">
        <v>108</v>
      </c>
      <c r="C29" s="366" t="s">
        <v>589</v>
      </c>
      <c r="D29" s="189">
        <v>7527</v>
      </c>
      <c r="E29" s="189"/>
      <c r="F29" s="189">
        <v>1076</v>
      </c>
      <c r="G29" s="74">
        <f t="shared" si="3"/>
        <v>6451</v>
      </c>
      <c r="H29" s="72"/>
      <c r="I29" s="72"/>
      <c r="J29" s="74">
        <f t="shared" si="9"/>
        <v>6451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10"/>
        <v>0</v>
      </c>
      <c r="R29" s="74">
        <f t="shared" si="11"/>
        <v>6451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5"/>
      <c r="B30" s="365" t="s">
        <v>112</v>
      </c>
      <c r="C30" s="366" t="s">
        <v>590</v>
      </c>
      <c r="D30" s="189">
        <v>26893</v>
      </c>
      <c r="E30" s="189">
        <v>948</v>
      </c>
      <c r="F30" s="189"/>
      <c r="G30" s="74">
        <f t="shared" si="3"/>
        <v>27841</v>
      </c>
      <c r="H30" s="72"/>
      <c r="I30" s="72"/>
      <c r="J30" s="74">
        <f t="shared" si="9"/>
        <v>27841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0"/>
        <v>0</v>
      </c>
      <c r="R30" s="74">
        <f t="shared" si="11"/>
        <v>27841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5"/>
      <c r="B31" s="365" t="s">
        <v>114</v>
      </c>
      <c r="C31" s="366" t="s">
        <v>591</v>
      </c>
      <c r="D31" s="189">
        <v>0</v>
      </c>
      <c r="E31" s="189"/>
      <c r="F31" s="189"/>
      <c r="G31" s="74">
        <f t="shared" si="3"/>
        <v>0</v>
      </c>
      <c r="H31" s="72"/>
      <c r="I31" s="72"/>
      <c r="J31" s="74">
        <f t="shared" si="9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0"/>
        <v>0</v>
      </c>
      <c r="R31" s="74">
        <f t="shared" si="11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5" t="s">
        <v>548</v>
      </c>
      <c r="B32" s="378" t="s">
        <v>592</v>
      </c>
      <c r="C32" s="366" t="s">
        <v>593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9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4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5"/>
      <c r="B33" s="380" t="s">
        <v>120</v>
      </c>
      <c r="C33" s="366" t="s">
        <v>594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9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5"/>
      <c r="B34" s="380" t="s">
        <v>595</v>
      </c>
      <c r="C34" s="366" t="s">
        <v>596</v>
      </c>
      <c r="D34" s="189">
        <v>0</v>
      </c>
      <c r="E34" s="189"/>
      <c r="F34" s="189"/>
      <c r="G34" s="74">
        <f t="shared" si="3"/>
        <v>0</v>
      </c>
      <c r="H34" s="72"/>
      <c r="I34" s="72"/>
      <c r="J34" s="74">
        <f t="shared" si="9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5"/>
      <c r="B35" s="380" t="s">
        <v>597</v>
      </c>
      <c r="C35" s="366" t="s">
        <v>598</v>
      </c>
      <c r="D35" s="189">
        <v>0</v>
      </c>
      <c r="E35" s="189"/>
      <c r="F35" s="189"/>
      <c r="G35" s="74">
        <f t="shared" si="3"/>
        <v>0</v>
      </c>
      <c r="H35" s="72"/>
      <c r="I35" s="72"/>
      <c r="J35" s="74">
        <f t="shared" si="9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5"/>
      <c r="B36" s="380" t="s">
        <v>599</v>
      </c>
      <c r="C36" s="366" t="s">
        <v>600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9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5" t="s">
        <v>551</v>
      </c>
      <c r="B37" s="380" t="s">
        <v>564</v>
      </c>
      <c r="C37" s="366" t="s">
        <v>601</v>
      </c>
      <c r="D37" s="189">
        <v>586610</v>
      </c>
      <c r="E37" s="189"/>
      <c r="F37" s="189">
        <v>76905</v>
      </c>
      <c r="G37" s="74">
        <f t="shared" si="3"/>
        <v>509705</v>
      </c>
      <c r="H37" s="72"/>
      <c r="I37" s="72"/>
      <c r="J37" s="74">
        <f t="shared" si="9"/>
        <v>509705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0"/>
        <v>0</v>
      </c>
      <c r="R37" s="74">
        <f t="shared" si="11"/>
        <v>509705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5"/>
      <c r="B38" s="367" t="s">
        <v>854</v>
      </c>
      <c r="C38" s="368" t="s">
        <v>603</v>
      </c>
      <c r="D38" s="194">
        <f>D27+D32+D37</f>
        <v>621030</v>
      </c>
      <c r="E38" s="194">
        <f aca="true" t="shared" si="13" ref="E38:P38">E27+E32+E37</f>
        <v>948</v>
      </c>
      <c r="F38" s="194">
        <f t="shared" si="13"/>
        <v>77981</v>
      </c>
      <c r="G38" s="74">
        <f t="shared" si="3"/>
        <v>543997</v>
      </c>
      <c r="H38" s="75">
        <f t="shared" si="13"/>
        <v>0</v>
      </c>
      <c r="I38" s="75">
        <f t="shared" si="13"/>
        <v>0</v>
      </c>
      <c r="J38" s="74">
        <f t="shared" si="9"/>
        <v>543997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4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543997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">
      <c r="A39" s="369" t="s">
        <v>604</v>
      </c>
      <c r="B39" s="369" t="s">
        <v>605</v>
      </c>
      <c r="C39" s="368" t="s">
        <v>606</v>
      </c>
      <c r="D39" s="569">
        <v>32307</v>
      </c>
      <c r="E39" s="569">
        <v>0</v>
      </c>
      <c r="F39" s="569"/>
      <c r="G39" s="74">
        <f t="shared" si="3"/>
        <v>32307</v>
      </c>
      <c r="H39" s="569"/>
      <c r="I39" s="569"/>
      <c r="J39" s="74">
        <f t="shared" si="9"/>
        <v>32307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10"/>
        <v>0</v>
      </c>
      <c r="R39" s="74">
        <f t="shared" si="11"/>
        <v>32307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5"/>
      <c r="B40" s="369" t="s">
        <v>607</v>
      </c>
      <c r="C40" s="358" t="s">
        <v>608</v>
      </c>
      <c r="D40" s="437">
        <f>D17+D18+D19+D25+D38+D39</f>
        <v>2017693</v>
      </c>
      <c r="E40" s="437">
        <f>E17+E18+E19+E25+E38+E39</f>
        <v>18512</v>
      </c>
      <c r="F40" s="437">
        <f aca="true" t="shared" si="14" ref="F40:R40">F17+F18+F19+F25+F38+F39</f>
        <v>87070</v>
      </c>
      <c r="G40" s="437">
        <f t="shared" si="14"/>
        <v>1949135</v>
      </c>
      <c r="H40" s="437">
        <f t="shared" si="14"/>
        <v>0</v>
      </c>
      <c r="I40" s="437">
        <f t="shared" si="14"/>
        <v>0</v>
      </c>
      <c r="J40" s="437">
        <f t="shared" si="14"/>
        <v>1949135</v>
      </c>
      <c r="K40" s="437">
        <f t="shared" si="14"/>
        <v>366043</v>
      </c>
      <c r="L40" s="437">
        <f t="shared" si="14"/>
        <v>8007</v>
      </c>
      <c r="M40" s="437">
        <f t="shared" si="14"/>
        <v>786</v>
      </c>
      <c r="N40" s="437">
        <f t="shared" si="14"/>
        <v>373264</v>
      </c>
      <c r="O40" s="437">
        <f t="shared" si="14"/>
        <v>0</v>
      </c>
      <c r="P40" s="437">
        <f t="shared" si="14"/>
        <v>0</v>
      </c>
      <c r="Q40" s="437">
        <f t="shared" si="14"/>
        <v>373264</v>
      </c>
      <c r="R40" s="437">
        <f t="shared" si="14"/>
        <v>1575871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609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4.25">
      <c r="A44" s="350"/>
      <c r="B44" s="45" t="s">
        <v>926</v>
      </c>
      <c r="C44" s="353"/>
      <c r="D44" s="354"/>
      <c r="E44" s="354"/>
      <c r="F44" s="354"/>
      <c r="G44" s="350"/>
      <c r="H44" s="355" t="s">
        <v>610</v>
      </c>
      <c r="I44" s="355"/>
      <c r="J44" s="355"/>
      <c r="K44" s="644"/>
      <c r="L44" s="644"/>
      <c r="M44" s="644"/>
      <c r="N44" s="644"/>
      <c r="O44" s="640" t="s">
        <v>783</v>
      </c>
      <c r="P44" s="641"/>
      <c r="Q44" s="641"/>
      <c r="R44" s="641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M3:N3"/>
    <mergeCell ref="O44:R44"/>
    <mergeCell ref="Q5:Q6"/>
    <mergeCell ref="R5:R6"/>
    <mergeCell ref="J5:J6"/>
    <mergeCell ref="K44:N44"/>
    <mergeCell ref="A5:B6"/>
    <mergeCell ref="A2:B2"/>
    <mergeCell ref="C2:H2"/>
    <mergeCell ref="A3:B3"/>
    <mergeCell ref="C3:E3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15"/>
  <sheetViews>
    <sheetView zoomScaleSheetLayoutView="100" zoomScalePageLayoutView="0" workbookViewId="0" topLeftCell="A74">
      <selection activeCell="C16" sqref="C1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48" t="s">
        <v>611</v>
      </c>
      <c r="B1" s="648"/>
      <c r="C1" s="648"/>
      <c r="D1" s="648"/>
      <c r="E1" s="648"/>
      <c r="F1" s="137"/>
    </row>
    <row r="2" spans="1:6" ht="12">
      <c r="A2" s="487"/>
      <c r="B2" s="488"/>
      <c r="C2" s="489"/>
      <c r="D2" s="107"/>
      <c r="E2" s="522"/>
      <c r="F2" s="99"/>
    </row>
    <row r="3" spans="1:15" ht="13.5" customHeight="1">
      <c r="A3" s="490" t="s">
        <v>385</v>
      </c>
      <c r="B3" s="651" t="str">
        <f>'справка №1-БАЛАНС'!E3</f>
        <v>"Химимпорт" АД</v>
      </c>
      <c r="C3" s="652"/>
      <c r="D3" s="523" t="s">
        <v>2</v>
      </c>
      <c r="E3" s="107">
        <f>'справка №1-БАЛАНС'!H3</f>
        <v>627519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49">
        <f>'справка №1-БАЛАНС'!E5</f>
        <v>43190</v>
      </c>
      <c r="C4" s="650"/>
      <c r="D4" s="524" t="s">
        <v>4</v>
      </c>
      <c r="E4" s="107" t="str">
        <f>'справка №1-БАЛАНС'!H4</f>
        <v> </v>
      </c>
      <c r="F4" s="414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612</v>
      </c>
      <c r="B5" s="493"/>
      <c r="C5" s="494"/>
      <c r="D5" s="107"/>
      <c r="E5" s="495" t="s">
        <v>613</v>
      </c>
    </row>
    <row r="6" spans="1:14" s="100" customFormat="1" ht="12">
      <c r="A6" s="388" t="s">
        <v>465</v>
      </c>
      <c r="B6" s="389" t="s">
        <v>8</v>
      </c>
      <c r="C6" s="390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8"/>
      <c r="B7" s="391"/>
      <c r="C7" s="390"/>
      <c r="D7" s="392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1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2" t="s">
        <v>618</v>
      </c>
      <c r="B9" s="393" t="s">
        <v>619</v>
      </c>
      <c r="C9" s="108"/>
      <c r="D9" s="108"/>
      <c r="E9" s="120">
        <f>C9-D9</f>
        <v>0</v>
      </c>
      <c r="F9" s="106"/>
    </row>
    <row r="10" spans="1:6" ht="12">
      <c r="A10" s="392" t="s">
        <v>620</v>
      </c>
      <c r="B10" s="394"/>
      <c r="C10" s="104"/>
      <c r="D10" s="104"/>
      <c r="E10" s="120"/>
      <c r="F10" s="106"/>
    </row>
    <row r="11" spans="1:15" ht="12">
      <c r="A11" s="395" t="s">
        <v>621</v>
      </c>
      <c r="B11" s="396" t="s">
        <v>622</v>
      </c>
      <c r="C11" s="119">
        <f>SUM(C12:C14)</f>
        <v>4887</v>
      </c>
      <c r="D11" s="119">
        <f>SUM(D12:D14)</f>
        <v>0</v>
      </c>
      <c r="E11" s="120">
        <f>SUM(E12:E14)</f>
        <v>4887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5" t="s">
        <v>623</v>
      </c>
      <c r="B12" s="396" t="s">
        <v>624</v>
      </c>
      <c r="C12" s="108">
        <f>'справка №1-БАЛАНС'!C47</f>
        <v>4887</v>
      </c>
      <c r="D12" s="108"/>
      <c r="E12" s="120">
        <f aca="true" t="shared" si="0" ref="E12:E42">C12-D12</f>
        <v>4887</v>
      </c>
      <c r="F12" s="106"/>
    </row>
    <row r="13" spans="1:6" ht="12">
      <c r="A13" s="395" t="s">
        <v>625</v>
      </c>
      <c r="B13" s="396" t="s">
        <v>626</v>
      </c>
      <c r="C13" s="108"/>
      <c r="D13" s="108"/>
      <c r="E13" s="120">
        <f t="shared" si="0"/>
        <v>0</v>
      </c>
      <c r="F13" s="106"/>
    </row>
    <row r="14" spans="1:6" ht="12">
      <c r="A14" s="395" t="s">
        <v>627</v>
      </c>
      <c r="B14" s="396" t="s">
        <v>628</v>
      </c>
      <c r="C14" s="108"/>
      <c r="D14" s="108"/>
      <c r="E14" s="120">
        <f t="shared" si="0"/>
        <v>0</v>
      </c>
      <c r="F14" s="106"/>
    </row>
    <row r="15" spans="1:6" ht="12">
      <c r="A15" s="395" t="s">
        <v>629</v>
      </c>
      <c r="B15" s="396" t="s">
        <v>630</v>
      </c>
      <c r="C15" s="108">
        <f>'справка №1-БАЛАНС'!C48</f>
        <v>154427</v>
      </c>
      <c r="D15" s="108"/>
      <c r="E15" s="120">
        <f t="shared" si="0"/>
        <v>154427</v>
      </c>
      <c r="F15" s="106"/>
    </row>
    <row r="16" spans="1:15" ht="12">
      <c r="A16" s="395" t="s">
        <v>631</v>
      </c>
      <c r="B16" s="396" t="s">
        <v>632</v>
      </c>
      <c r="C16" s="119">
        <f>+C17+C18</f>
        <v>1907874</v>
      </c>
      <c r="D16" s="119">
        <f>+D17+D18</f>
        <v>0</v>
      </c>
      <c r="E16" s="120">
        <f t="shared" si="0"/>
        <v>1907874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5" t="s">
        <v>633</v>
      </c>
      <c r="B17" s="396" t="s">
        <v>634</v>
      </c>
      <c r="C17" s="108">
        <f>'справка №1-БАЛАНС'!C49</f>
        <v>110</v>
      </c>
      <c r="D17" s="108"/>
      <c r="E17" s="120">
        <f t="shared" si="0"/>
        <v>110</v>
      </c>
      <c r="F17" s="106"/>
    </row>
    <row r="18" spans="1:6" ht="12">
      <c r="A18" s="395" t="s">
        <v>627</v>
      </c>
      <c r="B18" s="396" t="s">
        <v>635</v>
      </c>
      <c r="C18" s="108">
        <f>'справка №1-БАЛАНС'!C50</f>
        <v>1907764</v>
      </c>
      <c r="D18" s="108"/>
      <c r="E18" s="120">
        <f t="shared" si="0"/>
        <v>1907764</v>
      </c>
      <c r="F18" s="106"/>
    </row>
    <row r="19" spans="1:15" ht="12">
      <c r="A19" s="397" t="s">
        <v>636</v>
      </c>
      <c r="B19" s="393" t="s">
        <v>637</v>
      </c>
      <c r="C19" s="104">
        <f>C11+C15+C16</f>
        <v>2067188</v>
      </c>
      <c r="D19" s="104">
        <f>D11+D15+D16</f>
        <v>0</v>
      </c>
      <c r="E19" s="118">
        <f>E11+E15+E16</f>
        <v>2067188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2" t="s">
        <v>638</v>
      </c>
      <c r="B20" s="394"/>
      <c r="C20" s="119"/>
      <c r="D20" s="104"/>
      <c r="E20" s="120">
        <f t="shared" si="0"/>
        <v>0</v>
      </c>
      <c r="F20" s="106"/>
    </row>
    <row r="21" spans="1:6" ht="12">
      <c r="A21" s="395" t="s">
        <v>639</v>
      </c>
      <c r="B21" s="393" t="s">
        <v>640</v>
      </c>
      <c r="C21" s="108">
        <f>'справка №1-БАЛАНС'!C54</f>
        <v>6460</v>
      </c>
      <c r="D21" s="108"/>
      <c r="E21" s="120">
        <f t="shared" si="0"/>
        <v>6460</v>
      </c>
      <c r="F21" s="106"/>
    </row>
    <row r="22" spans="1:6" ht="12">
      <c r="A22" s="395"/>
      <c r="B22" s="394"/>
      <c r="C22" s="119"/>
      <c r="D22" s="104"/>
      <c r="E22" s="120"/>
      <c r="F22" s="106"/>
    </row>
    <row r="23" spans="1:6" ht="12">
      <c r="A23" s="392" t="s">
        <v>641</v>
      </c>
      <c r="B23" s="398"/>
      <c r="C23" s="119"/>
      <c r="D23" s="104"/>
      <c r="E23" s="120"/>
      <c r="F23" s="106"/>
    </row>
    <row r="24" spans="1:15" ht="12">
      <c r="A24" s="395" t="s">
        <v>642</v>
      </c>
      <c r="B24" s="396" t="s">
        <v>643</v>
      </c>
      <c r="C24" s="119">
        <f>SUM(C25:C27)</f>
        <v>65466</v>
      </c>
      <c r="D24" s="119">
        <f>SUM(D25:D27)</f>
        <v>65466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5" t="s">
        <v>644</v>
      </c>
      <c r="B25" s="396" t="s">
        <v>645</v>
      </c>
      <c r="C25" s="108">
        <f>'справка №1-БАЛАНС'!C67</f>
        <v>65466</v>
      </c>
      <c r="D25" s="108">
        <f>+C25</f>
        <v>65466</v>
      </c>
      <c r="E25" s="120">
        <f t="shared" si="0"/>
        <v>0</v>
      </c>
      <c r="F25" s="106"/>
    </row>
    <row r="26" spans="1:6" ht="12">
      <c r="A26" s="395" t="s">
        <v>646</v>
      </c>
      <c r="B26" s="396" t="s">
        <v>647</v>
      </c>
      <c r="C26" s="108"/>
      <c r="D26" s="108"/>
      <c r="E26" s="120">
        <f t="shared" si="0"/>
        <v>0</v>
      </c>
      <c r="F26" s="106"/>
    </row>
    <row r="27" spans="1:6" ht="12">
      <c r="A27" s="395" t="s">
        <v>648</v>
      </c>
      <c r="B27" s="396" t="s">
        <v>649</v>
      </c>
      <c r="C27" s="108"/>
      <c r="D27" s="108"/>
      <c r="E27" s="120">
        <f t="shared" si="0"/>
        <v>0</v>
      </c>
      <c r="F27" s="106"/>
    </row>
    <row r="28" spans="1:6" ht="12">
      <c r="A28" s="395" t="s">
        <v>650</v>
      </c>
      <c r="B28" s="396" t="s">
        <v>651</v>
      </c>
      <c r="C28" s="108">
        <f>'справка №1-БАЛАНС'!C68</f>
        <v>103501</v>
      </c>
      <c r="D28" s="108">
        <f>+C28</f>
        <v>103501</v>
      </c>
      <c r="E28" s="120">
        <f t="shared" si="0"/>
        <v>0</v>
      </c>
      <c r="F28" s="106"/>
    </row>
    <row r="29" spans="1:6" ht="12">
      <c r="A29" s="395" t="s">
        <v>652</v>
      </c>
      <c r="B29" s="396" t="s">
        <v>653</v>
      </c>
      <c r="C29" s="108">
        <f>'справка №1-БАЛАНС'!C69</f>
        <v>15146</v>
      </c>
      <c r="D29" s="108">
        <f>+C29</f>
        <v>15146</v>
      </c>
      <c r="E29" s="120">
        <f t="shared" si="0"/>
        <v>0</v>
      </c>
      <c r="F29" s="106"/>
    </row>
    <row r="30" spans="1:6" ht="12">
      <c r="A30" s="395" t="s">
        <v>654</v>
      </c>
      <c r="B30" s="396" t="s">
        <v>655</v>
      </c>
      <c r="C30" s="108">
        <f>'справка №1-БАЛАНС'!C70</f>
        <v>122943</v>
      </c>
      <c r="D30" s="108">
        <f>+C30</f>
        <v>122943</v>
      </c>
      <c r="E30" s="120">
        <f t="shared" si="0"/>
        <v>0</v>
      </c>
      <c r="F30" s="106"/>
    </row>
    <row r="31" spans="1:6" ht="12">
      <c r="A31" s="395" t="s">
        <v>656</v>
      </c>
      <c r="B31" s="396" t="s">
        <v>657</v>
      </c>
      <c r="C31" s="108">
        <f>'справка №1-БАЛАНС'!C71</f>
        <v>60952</v>
      </c>
      <c r="D31" s="108">
        <f>+C31</f>
        <v>60952</v>
      </c>
      <c r="E31" s="120">
        <f t="shared" si="0"/>
        <v>0</v>
      </c>
      <c r="F31" s="106"/>
    </row>
    <row r="32" spans="1:6" ht="12">
      <c r="A32" s="395" t="s">
        <v>658</v>
      </c>
      <c r="B32" s="396" t="s">
        <v>659</v>
      </c>
      <c r="C32" s="108"/>
      <c r="D32" s="108"/>
      <c r="E32" s="120">
        <f t="shared" si="0"/>
        <v>0</v>
      </c>
      <c r="F32" s="106"/>
    </row>
    <row r="33" spans="1:15" ht="12">
      <c r="A33" s="395" t="s">
        <v>660</v>
      </c>
      <c r="B33" s="396" t="s">
        <v>661</v>
      </c>
      <c r="C33" s="105">
        <f>SUM(C34:C37)</f>
        <v>2632</v>
      </c>
      <c r="D33" s="105">
        <f>SUM(D34:D37)</f>
        <v>2632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5" t="s">
        <v>662</v>
      </c>
      <c r="B34" s="396" t="s">
        <v>663</v>
      </c>
      <c r="C34" s="108">
        <v>82</v>
      </c>
      <c r="D34" s="108">
        <f>+C34</f>
        <v>82</v>
      </c>
      <c r="E34" s="120">
        <f t="shared" si="0"/>
        <v>0</v>
      </c>
      <c r="F34" s="106"/>
    </row>
    <row r="35" spans="1:6" ht="12">
      <c r="A35" s="395" t="s">
        <v>664</v>
      </c>
      <c r="B35" s="396" t="s">
        <v>665</v>
      </c>
      <c r="C35" s="108">
        <v>978</v>
      </c>
      <c r="D35" s="108">
        <f>+C35</f>
        <v>978</v>
      </c>
      <c r="E35" s="120">
        <f t="shared" si="0"/>
        <v>0</v>
      </c>
      <c r="F35" s="106"/>
    </row>
    <row r="36" spans="1:6" ht="12">
      <c r="A36" s="395" t="s">
        <v>666</v>
      </c>
      <c r="B36" s="396" t="s">
        <v>667</v>
      </c>
      <c r="C36" s="108"/>
      <c r="D36" s="108"/>
      <c r="E36" s="120">
        <f t="shared" si="0"/>
        <v>0</v>
      </c>
      <c r="F36" s="106"/>
    </row>
    <row r="37" spans="1:6" ht="12">
      <c r="A37" s="395" t="s">
        <v>668</v>
      </c>
      <c r="B37" s="396" t="s">
        <v>669</v>
      </c>
      <c r="C37" s="108">
        <f>106+3+1463</f>
        <v>1572</v>
      </c>
      <c r="D37" s="108">
        <f>+C37</f>
        <v>1572</v>
      </c>
      <c r="E37" s="120">
        <f t="shared" si="0"/>
        <v>0</v>
      </c>
      <c r="F37" s="106"/>
    </row>
    <row r="38" spans="1:15" ht="12">
      <c r="A38" s="395" t="s">
        <v>670</v>
      </c>
      <c r="B38" s="396" t="s">
        <v>671</v>
      </c>
      <c r="C38" s="119">
        <f>SUM(C39:C42)</f>
        <v>217697</v>
      </c>
      <c r="D38" s="105">
        <f>SUM(D39:D42)</f>
        <v>217697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5" t="s">
        <v>672</v>
      </c>
      <c r="B39" s="396" t="s">
        <v>673</v>
      </c>
      <c r="C39" s="108"/>
      <c r="D39" s="108"/>
      <c r="E39" s="120">
        <f t="shared" si="0"/>
        <v>0</v>
      </c>
      <c r="F39" s="106"/>
    </row>
    <row r="40" spans="1:6" ht="12">
      <c r="A40" s="395" t="s">
        <v>674</v>
      </c>
      <c r="B40" s="396" t="s">
        <v>675</v>
      </c>
      <c r="C40" s="108"/>
      <c r="D40" s="108"/>
      <c r="E40" s="120">
        <f t="shared" si="0"/>
        <v>0</v>
      </c>
      <c r="F40" s="106"/>
    </row>
    <row r="41" spans="1:6" ht="12">
      <c r="A41" s="395" t="s">
        <v>676</v>
      </c>
      <c r="B41" s="396" t="s">
        <v>677</v>
      </c>
      <c r="C41" s="108"/>
      <c r="D41" s="108"/>
      <c r="E41" s="120">
        <f t="shared" si="0"/>
        <v>0</v>
      </c>
      <c r="F41" s="106"/>
    </row>
    <row r="42" spans="1:6" ht="12">
      <c r="A42" s="395" t="s">
        <v>678</v>
      </c>
      <c r="B42" s="396" t="s">
        <v>679</v>
      </c>
      <c r="C42" s="108">
        <f>'справка №1-БАЛАНС'!C74</f>
        <v>217697</v>
      </c>
      <c r="D42" s="108">
        <f>+C42</f>
        <v>217697</v>
      </c>
      <c r="E42" s="120">
        <f t="shared" si="0"/>
        <v>0</v>
      </c>
      <c r="F42" s="106"/>
    </row>
    <row r="43" spans="1:15" ht="12">
      <c r="A43" s="397" t="s">
        <v>680</v>
      </c>
      <c r="B43" s="393" t="s">
        <v>681</v>
      </c>
      <c r="C43" s="104">
        <f>C24+C28+C29+C31+C30+C32+C33+C38</f>
        <v>588337</v>
      </c>
      <c r="D43" s="104">
        <f>D24+D28+D29+D31+D30+D32+D33+D38</f>
        <v>588337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2" t="s">
        <v>682</v>
      </c>
      <c r="B44" s="394" t="s">
        <v>683</v>
      </c>
      <c r="C44" s="103">
        <f>C43+C21+C19+C9</f>
        <v>2661985</v>
      </c>
      <c r="D44" s="103">
        <f>D43+D21+D19+D9</f>
        <v>588337</v>
      </c>
      <c r="E44" s="118">
        <f>E43+E21+E19+E9</f>
        <v>2073648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399"/>
      <c r="B45" s="400"/>
      <c r="C45" s="401"/>
      <c r="D45" s="401"/>
      <c r="E45" s="401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399"/>
      <c r="B46" s="400"/>
      <c r="C46" s="401"/>
      <c r="D46" s="401"/>
      <c r="E46" s="401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399" t="s">
        <v>684</v>
      </c>
      <c r="B47" s="400"/>
      <c r="C47" s="402"/>
      <c r="D47" s="402"/>
      <c r="E47" s="402"/>
      <c r="F47" s="122" t="s">
        <v>276</v>
      </c>
    </row>
    <row r="48" spans="1:6" s="100" customFormat="1" ht="24">
      <c r="A48" s="388" t="s">
        <v>465</v>
      </c>
      <c r="B48" s="389" t="s">
        <v>8</v>
      </c>
      <c r="C48" s="403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8"/>
      <c r="B49" s="391"/>
      <c r="C49" s="403"/>
      <c r="D49" s="392" t="s">
        <v>616</v>
      </c>
      <c r="E49" s="392" t="s">
        <v>617</v>
      </c>
      <c r="F49" s="138"/>
    </row>
    <row r="50" spans="1:6" s="100" customFormat="1" ht="12">
      <c r="A50" s="115" t="s">
        <v>14</v>
      </c>
      <c r="B50" s="391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2" t="s">
        <v>688</v>
      </c>
      <c r="B51" s="398"/>
      <c r="C51" s="103"/>
      <c r="D51" s="103"/>
      <c r="E51" s="103"/>
      <c r="F51" s="404"/>
    </row>
    <row r="52" spans="1:16" ht="24">
      <c r="A52" s="395" t="s">
        <v>689</v>
      </c>
      <c r="B52" s="396" t="s">
        <v>690</v>
      </c>
      <c r="C52" s="103">
        <f>SUM(C53:C55)</f>
        <v>5546</v>
      </c>
      <c r="D52" s="103">
        <f>SUM(D53:D55)</f>
        <v>0</v>
      </c>
      <c r="E52" s="119">
        <f>C52-D52</f>
        <v>5546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5" t="s">
        <v>691</v>
      </c>
      <c r="B53" s="396" t="s">
        <v>692</v>
      </c>
      <c r="C53" s="108">
        <f>'справка №1-БАЛАНС'!G43</f>
        <v>5546</v>
      </c>
      <c r="D53" s="108"/>
      <c r="E53" s="119">
        <f>C53-D53</f>
        <v>5546</v>
      </c>
      <c r="F53" s="108"/>
    </row>
    <row r="54" spans="1:6" ht="12">
      <c r="A54" s="395" t="s">
        <v>693</v>
      </c>
      <c r="B54" s="396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5" t="s">
        <v>678</v>
      </c>
      <c r="B55" s="396" t="s">
        <v>695</v>
      </c>
      <c r="C55" s="108"/>
      <c r="D55" s="108"/>
      <c r="E55" s="119">
        <f t="shared" si="1"/>
        <v>0</v>
      </c>
      <c r="F55" s="108"/>
    </row>
    <row r="56" spans="1:16" ht="24">
      <c r="A56" s="395" t="s">
        <v>696</v>
      </c>
      <c r="B56" s="396" t="s">
        <v>697</v>
      </c>
      <c r="C56" s="103">
        <f>C57+C59</f>
        <v>122484</v>
      </c>
      <c r="D56" s="103">
        <f>D57+D59</f>
        <v>0</v>
      </c>
      <c r="E56" s="119">
        <f t="shared" si="1"/>
        <v>122484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5" t="s">
        <v>698</v>
      </c>
      <c r="B57" s="396" t="s">
        <v>699</v>
      </c>
      <c r="C57" s="108">
        <f>'справка №1-БАЛАНС'!G44</f>
        <v>122484</v>
      </c>
      <c r="D57" s="108"/>
      <c r="E57" s="119">
        <f t="shared" si="1"/>
        <v>122484</v>
      </c>
      <c r="F57" s="108"/>
    </row>
    <row r="58" spans="1:6" ht="12">
      <c r="A58" s="405" t="s">
        <v>700</v>
      </c>
      <c r="B58" s="396" t="s">
        <v>701</v>
      </c>
      <c r="C58" s="109"/>
      <c r="D58" s="109"/>
      <c r="E58" s="119">
        <f t="shared" si="1"/>
        <v>0</v>
      </c>
      <c r="F58" s="109"/>
    </row>
    <row r="59" spans="1:6" ht="12">
      <c r="A59" s="405" t="s">
        <v>702</v>
      </c>
      <c r="B59" s="396" t="s">
        <v>703</v>
      </c>
      <c r="C59" s="108"/>
      <c r="D59" s="108"/>
      <c r="E59" s="119">
        <f t="shared" si="1"/>
        <v>0</v>
      </c>
      <c r="F59" s="108"/>
    </row>
    <row r="60" spans="1:6" ht="12">
      <c r="A60" s="405" t="s">
        <v>700</v>
      </c>
      <c r="B60" s="396" t="s">
        <v>704</v>
      </c>
      <c r="C60" s="109"/>
      <c r="D60" s="109"/>
      <c r="E60" s="119">
        <f t="shared" si="1"/>
        <v>0</v>
      </c>
      <c r="F60" s="109"/>
    </row>
    <row r="61" spans="1:6" ht="12">
      <c r="A61" s="395" t="s">
        <v>138</v>
      </c>
      <c r="B61" s="396" t="s">
        <v>705</v>
      </c>
      <c r="C61" s="108"/>
      <c r="D61" s="108"/>
      <c r="E61" s="119">
        <f t="shared" si="1"/>
        <v>0</v>
      </c>
      <c r="F61" s="110"/>
    </row>
    <row r="62" spans="1:6" ht="12">
      <c r="A62" s="395" t="s">
        <v>141</v>
      </c>
      <c r="B62" s="396" t="s">
        <v>706</v>
      </c>
      <c r="C62" s="108">
        <f>'справка №1-БАЛАНС'!G46</f>
        <v>5046</v>
      </c>
      <c r="D62" s="108"/>
      <c r="E62" s="119">
        <f t="shared" si="1"/>
        <v>5046</v>
      </c>
      <c r="F62" s="110"/>
    </row>
    <row r="63" spans="1:6" ht="12">
      <c r="A63" s="395" t="s">
        <v>707</v>
      </c>
      <c r="B63" s="396" t="s">
        <v>708</v>
      </c>
      <c r="C63" s="108">
        <f>'справка №1-БАЛАНС'!G47</f>
        <v>29732</v>
      </c>
      <c r="D63" s="108"/>
      <c r="E63" s="119">
        <f t="shared" si="1"/>
        <v>29732</v>
      </c>
      <c r="F63" s="110"/>
    </row>
    <row r="64" spans="1:6" ht="12">
      <c r="A64" s="395" t="s">
        <v>709</v>
      </c>
      <c r="B64" s="396" t="s">
        <v>710</v>
      </c>
      <c r="C64" s="108">
        <f>'справка №1-БАЛАНС'!G48</f>
        <v>2513856</v>
      </c>
      <c r="D64" s="108"/>
      <c r="E64" s="119">
        <f t="shared" si="1"/>
        <v>2513856</v>
      </c>
      <c r="F64" s="110"/>
    </row>
    <row r="65" spans="1:6" ht="12">
      <c r="A65" s="395" t="s">
        <v>711</v>
      </c>
      <c r="B65" s="396" t="s">
        <v>712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7" t="s">
        <v>713</v>
      </c>
      <c r="B66" s="393" t="s">
        <v>714</v>
      </c>
      <c r="C66" s="103">
        <f>C52+C56+C61+C62+C63+C64</f>
        <v>2676664</v>
      </c>
      <c r="D66" s="103">
        <f>D52+D56+D61+D62+D63+D64</f>
        <v>0</v>
      </c>
      <c r="E66" s="119">
        <f t="shared" si="1"/>
        <v>2676664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2" t="s">
        <v>715</v>
      </c>
      <c r="B67" s="394"/>
      <c r="C67" s="104"/>
      <c r="D67" s="104"/>
      <c r="E67" s="119"/>
      <c r="F67" s="112"/>
    </row>
    <row r="68" spans="1:6" ht="12">
      <c r="A68" s="395" t="s">
        <v>716</v>
      </c>
      <c r="B68" s="406" t="s">
        <v>717</v>
      </c>
      <c r="C68" s="108">
        <f>'справка №1-БАЛАНС'!G53</f>
        <v>30558</v>
      </c>
      <c r="D68" s="108"/>
      <c r="E68" s="119">
        <f t="shared" si="1"/>
        <v>30558</v>
      </c>
      <c r="F68" s="110"/>
    </row>
    <row r="69" spans="1:6" ht="12">
      <c r="A69" s="392"/>
      <c r="B69" s="394"/>
      <c r="C69" s="104"/>
      <c r="D69" s="104"/>
      <c r="E69" s="119"/>
      <c r="F69" s="112"/>
    </row>
    <row r="70" spans="1:6" ht="12">
      <c r="A70" s="392" t="s">
        <v>718</v>
      </c>
      <c r="B70" s="398"/>
      <c r="C70" s="104"/>
      <c r="D70" s="104"/>
      <c r="E70" s="119"/>
      <c r="F70" s="112"/>
    </row>
    <row r="71" spans="1:16" ht="24">
      <c r="A71" s="395" t="s">
        <v>689</v>
      </c>
      <c r="B71" s="396" t="s">
        <v>719</v>
      </c>
      <c r="C71" s="105">
        <f>SUM(C72:C74)</f>
        <v>74033</v>
      </c>
      <c r="D71" s="105">
        <f>SUM(D72:D74)</f>
        <v>74033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5" t="s">
        <v>720</v>
      </c>
      <c r="B72" s="396" t="s">
        <v>721</v>
      </c>
      <c r="C72" s="108"/>
      <c r="D72" s="108">
        <f>+C72</f>
        <v>0</v>
      </c>
      <c r="E72" s="119">
        <f t="shared" si="1"/>
        <v>0</v>
      </c>
      <c r="F72" s="110"/>
    </row>
    <row r="73" spans="1:6" ht="12">
      <c r="A73" s="395" t="s">
        <v>722</v>
      </c>
      <c r="B73" s="396" t="s">
        <v>723</v>
      </c>
      <c r="C73" s="108"/>
      <c r="D73" s="108"/>
      <c r="E73" s="119">
        <f t="shared" si="1"/>
        <v>0</v>
      </c>
      <c r="F73" s="110"/>
    </row>
    <row r="74" spans="1:6" ht="12">
      <c r="A74" s="407" t="s">
        <v>724</v>
      </c>
      <c r="B74" s="396" t="s">
        <v>725</v>
      </c>
      <c r="C74" s="108">
        <f>'справка №1-БАЛАНС'!G59</f>
        <v>74033</v>
      </c>
      <c r="D74" s="108">
        <f>+C74</f>
        <v>74033</v>
      </c>
      <c r="E74" s="119">
        <f t="shared" si="1"/>
        <v>0</v>
      </c>
      <c r="F74" s="110"/>
    </row>
    <row r="75" spans="1:16" ht="24">
      <c r="A75" s="395" t="s">
        <v>696</v>
      </c>
      <c r="B75" s="396" t="s">
        <v>726</v>
      </c>
      <c r="C75" s="103">
        <f>C76+C78</f>
        <v>74033</v>
      </c>
      <c r="D75" s="103">
        <f>D76+D78</f>
        <v>74033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5" t="s">
        <v>727</v>
      </c>
      <c r="B76" s="396" t="s">
        <v>728</v>
      </c>
      <c r="C76" s="108">
        <v>74033</v>
      </c>
      <c r="D76" s="108">
        <f>+C76</f>
        <v>74033</v>
      </c>
      <c r="E76" s="119">
        <f t="shared" si="1"/>
        <v>0</v>
      </c>
      <c r="F76" s="108"/>
    </row>
    <row r="77" spans="1:6" ht="12">
      <c r="A77" s="395" t="s">
        <v>729</v>
      </c>
      <c r="B77" s="396" t="s">
        <v>730</v>
      </c>
      <c r="C77" s="109"/>
      <c r="D77" s="108"/>
      <c r="E77" s="119">
        <f t="shared" si="1"/>
        <v>0</v>
      </c>
      <c r="F77" s="109"/>
    </row>
    <row r="78" spans="1:6" ht="12">
      <c r="A78" s="395" t="s">
        <v>731</v>
      </c>
      <c r="B78" s="396" t="s">
        <v>732</v>
      </c>
      <c r="C78" s="108">
        <v>0</v>
      </c>
      <c r="D78" s="108">
        <f>+C78</f>
        <v>0</v>
      </c>
      <c r="E78" s="119">
        <f t="shared" si="1"/>
        <v>0</v>
      </c>
      <c r="F78" s="108"/>
    </row>
    <row r="79" spans="1:6" ht="12">
      <c r="A79" s="395" t="s">
        <v>700</v>
      </c>
      <c r="B79" s="396" t="s">
        <v>733</v>
      </c>
      <c r="C79" s="109">
        <v>0</v>
      </c>
      <c r="D79" s="109">
        <f>+C79</f>
        <v>0</v>
      </c>
      <c r="E79" s="119">
        <f t="shared" si="1"/>
        <v>0</v>
      </c>
      <c r="F79" s="109"/>
    </row>
    <row r="80" spans="1:16" ht="12">
      <c r="A80" s="395" t="s">
        <v>734</v>
      </c>
      <c r="B80" s="396" t="s">
        <v>735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5" t="s">
        <v>736</v>
      </c>
      <c r="B81" s="396" t="s">
        <v>737</v>
      </c>
      <c r="C81" s="108"/>
      <c r="D81" s="108"/>
      <c r="E81" s="119">
        <f t="shared" si="1"/>
        <v>0</v>
      </c>
      <c r="F81" s="108"/>
    </row>
    <row r="82" spans="1:6" ht="12">
      <c r="A82" s="395" t="s">
        <v>738</v>
      </c>
      <c r="B82" s="396" t="s">
        <v>739</v>
      </c>
      <c r="C82" s="108">
        <v>0</v>
      </c>
      <c r="D82" s="108">
        <f>+C82</f>
        <v>0</v>
      </c>
      <c r="E82" s="119">
        <f t="shared" si="1"/>
        <v>0</v>
      </c>
      <c r="F82" s="108"/>
    </row>
    <row r="83" spans="1:6" ht="24">
      <c r="A83" s="395" t="s">
        <v>740</v>
      </c>
      <c r="B83" s="396" t="s">
        <v>741</v>
      </c>
      <c r="C83" s="108"/>
      <c r="D83" s="108"/>
      <c r="E83" s="119">
        <f t="shared" si="1"/>
        <v>0</v>
      </c>
      <c r="F83" s="108"/>
    </row>
    <row r="84" spans="1:6" ht="12">
      <c r="A84" s="395" t="s">
        <v>742</v>
      </c>
      <c r="B84" s="396" t="s">
        <v>743</v>
      </c>
      <c r="C84" s="108"/>
      <c r="D84" s="108"/>
      <c r="E84" s="119">
        <f t="shared" si="1"/>
        <v>0</v>
      </c>
      <c r="F84" s="108"/>
    </row>
    <row r="85" spans="1:16" ht="12">
      <c r="A85" s="395" t="s">
        <v>744</v>
      </c>
      <c r="B85" s="396" t="s">
        <v>745</v>
      </c>
      <c r="C85" s="104">
        <f>SUM(C86:C90)+C94</f>
        <v>128129</v>
      </c>
      <c r="D85" s="104">
        <f>SUM(D86:D90)+D94</f>
        <v>128129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5" t="s">
        <v>746</v>
      </c>
      <c r="B86" s="396" t="s">
        <v>747</v>
      </c>
      <c r="C86" s="108">
        <f>'справка №1-БАЛАНС'!G63</f>
        <v>19030</v>
      </c>
      <c r="D86" s="108">
        <f>+C86</f>
        <v>19030</v>
      </c>
      <c r="E86" s="119">
        <f t="shared" si="1"/>
        <v>0</v>
      </c>
      <c r="F86" s="108"/>
    </row>
    <row r="87" spans="1:6" ht="12">
      <c r="A87" s="395" t="s">
        <v>748</v>
      </c>
      <c r="B87" s="396" t="s">
        <v>749</v>
      </c>
      <c r="C87" s="108">
        <f>'справка №1-БАЛАНС'!G64</f>
        <v>87217</v>
      </c>
      <c r="D87" s="108">
        <f>+C87</f>
        <v>87217</v>
      </c>
      <c r="E87" s="119">
        <f t="shared" si="1"/>
        <v>0</v>
      </c>
      <c r="F87" s="108"/>
    </row>
    <row r="88" spans="1:6" ht="12">
      <c r="A88" s="395" t="s">
        <v>750</v>
      </c>
      <c r="B88" s="396" t="s">
        <v>751</v>
      </c>
      <c r="C88" s="108">
        <f>'справка №1-БАЛАНС'!G65</f>
        <v>3137</v>
      </c>
      <c r="D88" s="108">
        <f>+C88</f>
        <v>3137</v>
      </c>
      <c r="E88" s="119">
        <f t="shared" si="1"/>
        <v>0</v>
      </c>
      <c r="F88" s="108"/>
    </row>
    <row r="89" spans="1:6" ht="12">
      <c r="A89" s="395" t="s">
        <v>752</v>
      </c>
      <c r="B89" s="396" t="s">
        <v>753</v>
      </c>
      <c r="C89" s="108">
        <f>'справка №1-БАЛАНС'!G66</f>
        <v>9644</v>
      </c>
      <c r="D89" s="108">
        <f>+C89</f>
        <v>9644</v>
      </c>
      <c r="E89" s="119">
        <f t="shared" si="1"/>
        <v>0</v>
      </c>
      <c r="F89" s="108"/>
    </row>
    <row r="90" spans="1:16" ht="12">
      <c r="A90" s="395" t="s">
        <v>754</v>
      </c>
      <c r="B90" s="396" t="s">
        <v>755</v>
      </c>
      <c r="C90" s="103">
        <f>SUM(C91:C93)</f>
        <v>6978</v>
      </c>
      <c r="D90" s="103">
        <f>SUM(D91:D93)</f>
        <v>6978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5" t="s">
        <v>756</v>
      </c>
      <c r="B91" s="396" t="s">
        <v>757</v>
      </c>
      <c r="C91" s="108">
        <v>895</v>
      </c>
      <c r="D91" s="108">
        <f>+C91</f>
        <v>895</v>
      </c>
      <c r="E91" s="119">
        <f t="shared" si="1"/>
        <v>0</v>
      </c>
      <c r="F91" s="108"/>
    </row>
    <row r="92" spans="1:6" ht="12">
      <c r="A92" s="395" t="s">
        <v>664</v>
      </c>
      <c r="B92" s="396" t="s">
        <v>758</v>
      </c>
      <c r="C92" s="108">
        <v>1779</v>
      </c>
      <c r="D92" s="108">
        <f>+C92</f>
        <v>1779</v>
      </c>
      <c r="E92" s="119">
        <f t="shared" si="1"/>
        <v>0</v>
      </c>
      <c r="F92" s="108"/>
    </row>
    <row r="93" spans="1:6" ht="12">
      <c r="A93" s="395" t="s">
        <v>668</v>
      </c>
      <c r="B93" s="396" t="s">
        <v>759</v>
      </c>
      <c r="C93" s="108">
        <v>4304</v>
      </c>
      <c r="D93" s="108">
        <f>+C93</f>
        <v>4304</v>
      </c>
      <c r="E93" s="119">
        <f t="shared" si="1"/>
        <v>0</v>
      </c>
      <c r="F93" s="108"/>
    </row>
    <row r="94" spans="1:6" ht="12">
      <c r="A94" s="395" t="s">
        <v>760</v>
      </c>
      <c r="B94" s="396" t="s">
        <v>761</v>
      </c>
      <c r="C94" s="108">
        <f>'справка №1-БАЛАНС'!G67</f>
        <v>2123</v>
      </c>
      <c r="D94" s="108">
        <f>+C94</f>
        <v>2123</v>
      </c>
      <c r="E94" s="119">
        <f t="shared" si="1"/>
        <v>0</v>
      </c>
      <c r="F94" s="108"/>
    </row>
    <row r="95" spans="1:6" ht="12">
      <c r="A95" s="395" t="s">
        <v>762</v>
      </c>
      <c r="B95" s="396" t="s">
        <v>763</v>
      </c>
      <c r="C95" s="108">
        <f>'справка №1-БАЛАНС'!G69</f>
        <v>3983841</v>
      </c>
      <c r="D95" s="108">
        <f>+C95</f>
        <v>3983841</v>
      </c>
      <c r="E95" s="119">
        <f t="shared" si="1"/>
        <v>0</v>
      </c>
      <c r="F95" s="110"/>
    </row>
    <row r="96" spans="1:16" ht="12">
      <c r="A96" s="397" t="s">
        <v>764</v>
      </c>
      <c r="B96" s="406" t="s">
        <v>765</v>
      </c>
      <c r="C96" s="104">
        <f>C85+C80+C75+C71+C95</f>
        <v>4260036</v>
      </c>
      <c r="D96" s="104">
        <f>D85+D80+D75+D71+D95</f>
        <v>4260036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2" t="s">
        <v>766</v>
      </c>
      <c r="B97" s="394" t="s">
        <v>767</v>
      </c>
      <c r="C97" s="104">
        <f>C96+C68+C66</f>
        <v>6967258</v>
      </c>
      <c r="D97" s="104">
        <f>D96+D68+D66</f>
        <v>4260036</v>
      </c>
      <c r="E97" s="104">
        <f>E96+E68+E66</f>
        <v>2707222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2"/>
      <c r="B98" s="408"/>
      <c r="C98" s="113"/>
      <c r="D98" s="113"/>
      <c r="E98" s="113"/>
      <c r="F98" s="114"/>
    </row>
    <row r="99" spans="1:27" ht="12">
      <c r="A99" s="399" t="s">
        <v>768</v>
      </c>
      <c r="B99" s="409"/>
      <c r="C99" s="113"/>
      <c r="D99" s="113"/>
      <c r="E99" s="113"/>
      <c r="F99" s="410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5" customFormat="1" ht="24">
      <c r="A100" s="115" t="s">
        <v>465</v>
      </c>
      <c r="B100" s="394" t="s">
        <v>466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5" customFormat="1" ht="12">
      <c r="A101" s="115" t="s">
        <v>14</v>
      </c>
      <c r="B101" s="394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5" t="s">
        <v>773</v>
      </c>
      <c r="B102" s="396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5" t="s">
        <v>775</v>
      </c>
      <c r="B103" s="396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5" t="s">
        <v>777</v>
      </c>
      <c r="B104" s="396" t="s">
        <v>778</v>
      </c>
      <c r="C104" s="108">
        <v>968</v>
      </c>
      <c r="D104" s="108"/>
      <c r="E104" s="108">
        <v>804</v>
      </c>
      <c r="F104" s="125">
        <f>C104+D104-E104</f>
        <v>164</v>
      </c>
    </row>
    <row r="105" spans="1:16" ht="12">
      <c r="A105" s="411" t="s">
        <v>779</v>
      </c>
      <c r="B105" s="394" t="s">
        <v>780</v>
      </c>
      <c r="C105" s="103">
        <f>SUM(C102:C104)</f>
        <v>968</v>
      </c>
      <c r="D105" s="103">
        <f>SUM(D102:D104)</f>
        <v>0</v>
      </c>
      <c r="E105" s="103">
        <f>SUM(E102:E104)</f>
        <v>804</v>
      </c>
      <c r="F105" s="103">
        <f>SUM(F102:F104)</f>
        <v>164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2" t="s">
        <v>781</v>
      </c>
      <c r="B106" s="413"/>
      <c r="C106" s="399"/>
      <c r="D106" s="399"/>
      <c r="E106" s="399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47" t="s">
        <v>782</v>
      </c>
      <c r="B107" s="647"/>
      <c r="C107" s="647"/>
      <c r="D107" s="647"/>
      <c r="E107" s="647"/>
      <c r="F107" s="64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399"/>
      <c r="B108" s="400"/>
      <c r="C108" s="399"/>
      <c r="D108" s="399"/>
      <c r="E108" s="399"/>
      <c r="F108" s="122"/>
    </row>
    <row r="109" spans="1:6" ht="12">
      <c r="A109" s="646" t="s">
        <v>926</v>
      </c>
      <c r="B109" s="646"/>
      <c r="C109" s="646" t="s">
        <v>383</v>
      </c>
      <c r="D109" s="646"/>
      <c r="E109" s="646"/>
      <c r="F109" s="646"/>
    </row>
    <row r="110" spans="1:6" ht="12">
      <c r="A110" s="384"/>
      <c r="B110" s="385"/>
      <c r="C110" s="384"/>
      <c r="D110" s="384"/>
      <c r="E110" s="384"/>
      <c r="F110" s="386"/>
    </row>
    <row r="111" spans="1:6" ht="12">
      <c r="A111" s="384"/>
      <c r="B111" s="385"/>
      <c r="C111" s="645" t="s">
        <v>783</v>
      </c>
      <c r="D111" s="645"/>
      <c r="E111" s="645"/>
      <c r="F111" s="645"/>
    </row>
    <row r="112" spans="1:6" ht="12">
      <c r="A112" s="348"/>
      <c r="B112" s="387"/>
      <c r="C112" s="348"/>
      <c r="D112" s="348"/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4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264"/>
  <sheetViews>
    <sheetView view="pageBreakPreview" zoomScaleSheetLayoutView="100"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784</v>
      </c>
      <c r="F2" s="417"/>
      <c r="G2" s="417"/>
      <c r="H2" s="415"/>
      <c r="I2" s="415"/>
    </row>
    <row r="3" spans="1:9" ht="12">
      <c r="A3" s="415"/>
      <c r="B3" s="416"/>
      <c r="C3" s="418" t="s">
        <v>785</v>
      </c>
      <c r="D3" s="418"/>
      <c r="E3" s="418"/>
      <c r="F3" s="418"/>
      <c r="G3" s="418"/>
      <c r="H3" s="415"/>
      <c r="I3" s="415"/>
    </row>
    <row r="4" spans="1:9" ht="15" customHeight="1">
      <c r="A4" s="496" t="s">
        <v>385</v>
      </c>
      <c r="B4" s="653" t="str">
        <f>'справка №1-БАЛАНС'!E3</f>
        <v>"Химимпорт" АД</v>
      </c>
      <c r="C4" s="653"/>
      <c r="D4" s="653"/>
      <c r="E4" s="653"/>
      <c r="F4" s="653"/>
      <c r="G4" s="659" t="s">
        <v>2</v>
      </c>
      <c r="H4" s="659"/>
      <c r="I4" s="497">
        <f>'справка №1-БАЛАНС'!H3</f>
        <v>627519</v>
      </c>
    </row>
    <row r="5" spans="1:9" ht="15">
      <c r="A5" s="498" t="s">
        <v>5</v>
      </c>
      <c r="B5" s="654">
        <f>'справка №1-БАЛАНС'!E5</f>
        <v>43190</v>
      </c>
      <c r="C5" s="654"/>
      <c r="D5" s="654"/>
      <c r="E5" s="654"/>
      <c r="F5" s="654"/>
      <c r="G5" s="657" t="s">
        <v>4</v>
      </c>
      <c r="H5" s="658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786</v>
      </c>
    </row>
    <row r="7" spans="1:9" s="517" customFormat="1" ht="12">
      <c r="A7" s="140" t="s">
        <v>465</v>
      </c>
      <c r="B7" s="79"/>
      <c r="C7" s="140" t="s">
        <v>787</v>
      </c>
      <c r="D7" s="141"/>
      <c r="E7" s="142"/>
      <c r="F7" s="143" t="s">
        <v>788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789</v>
      </c>
      <c r="D8" s="82" t="s">
        <v>790</v>
      </c>
      <c r="E8" s="82" t="s">
        <v>791</v>
      </c>
      <c r="F8" s="142" t="s">
        <v>792</v>
      </c>
      <c r="G8" s="144" t="s">
        <v>793</v>
      </c>
      <c r="H8" s="144"/>
      <c r="I8" s="144" t="s">
        <v>794</v>
      </c>
    </row>
    <row r="9" spans="1:9" s="517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18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 ht="12">
      <c r="A11" s="88" t="s">
        <v>795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5">
      <c r="A12" s="76" t="s">
        <v>796</v>
      </c>
      <c r="B12" s="90" t="s">
        <v>797</v>
      </c>
      <c r="C12" s="438"/>
      <c r="D12" s="98"/>
      <c r="E12" s="98"/>
      <c r="F12" s="98"/>
      <c r="G12" s="98"/>
      <c r="H12" s="98"/>
      <c r="I12" s="433">
        <f>F12+G12-H12</f>
        <v>0</v>
      </c>
    </row>
    <row r="13" spans="1:9" s="518" customFormat="1" ht="12">
      <c r="A13" s="76" t="s">
        <v>798</v>
      </c>
      <c r="B13" s="90" t="s">
        <v>799</v>
      </c>
      <c r="C13" s="98"/>
      <c r="D13" s="98"/>
      <c r="E13" s="98"/>
      <c r="F13" s="98"/>
      <c r="G13" s="98"/>
      <c r="H13" s="98"/>
      <c r="I13" s="433">
        <f aca="true" t="shared" si="0" ref="I13:I26">F13+G13-H13</f>
        <v>0</v>
      </c>
    </row>
    <row r="14" spans="1:9" s="518" customFormat="1" ht="12">
      <c r="A14" s="76" t="s">
        <v>597</v>
      </c>
      <c r="B14" s="90" t="s">
        <v>800</v>
      </c>
      <c r="C14" s="195"/>
      <c r="D14" s="195"/>
      <c r="E14" s="195"/>
      <c r="F14" s="195"/>
      <c r="G14" s="195"/>
      <c r="H14" s="195"/>
      <c r="I14" s="433">
        <f t="shared" si="0"/>
        <v>0</v>
      </c>
    </row>
    <row r="15" spans="1:9" s="518" customFormat="1" ht="12">
      <c r="A15" s="76" t="s">
        <v>801</v>
      </c>
      <c r="B15" s="90" t="s">
        <v>802</v>
      </c>
      <c r="C15" s="98"/>
      <c r="D15" s="98"/>
      <c r="E15" s="98"/>
      <c r="F15" s="98"/>
      <c r="G15" s="98"/>
      <c r="H15" s="98"/>
      <c r="I15" s="433">
        <f t="shared" si="0"/>
        <v>0</v>
      </c>
    </row>
    <row r="16" spans="1:9" s="518" customFormat="1" ht="12">
      <c r="A16" s="76" t="s">
        <v>78</v>
      </c>
      <c r="B16" s="90" t="s">
        <v>803</v>
      </c>
      <c r="C16" s="98"/>
      <c r="D16" s="98"/>
      <c r="E16" s="98"/>
      <c r="F16" s="98"/>
      <c r="G16" s="98">
        <v>0</v>
      </c>
      <c r="H16" s="98">
        <v>0</v>
      </c>
      <c r="I16" s="433">
        <f t="shared" si="0"/>
        <v>0</v>
      </c>
    </row>
    <row r="17" spans="1:9" s="518" customFormat="1" ht="12">
      <c r="A17" s="91" t="s">
        <v>566</v>
      </c>
      <c r="B17" s="92" t="s">
        <v>804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3">
        <f t="shared" si="0"/>
        <v>0</v>
      </c>
    </row>
    <row r="18" spans="1:9" s="518" customFormat="1" ht="12">
      <c r="A18" s="88" t="s">
        <v>805</v>
      </c>
      <c r="B18" s="93"/>
      <c r="C18" s="433"/>
      <c r="D18" s="433"/>
      <c r="E18" s="433"/>
      <c r="F18" s="433"/>
      <c r="G18" s="433"/>
      <c r="H18" s="433"/>
      <c r="I18" s="433"/>
    </row>
    <row r="19" spans="1:16" s="518" customFormat="1" ht="12">
      <c r="A19" s="76" t="s">
        <v>796</v>
      </c>
      <c r="B19" s="90" t="s">
        <v>806</v>
      </c>
      <c r="C19" s="98"/>
      <c r="D19" s="98"/>
      <c r="E19" s="98"/>
      <c r="F19" s="98"/>
      <c r="G19" s="98"/>
      <c r="H19" s="98"/>
      <c r="I19" s="433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6" t="s">
        <v>807</v>
      </c>
      <c r="B20" s="90" t="s">
        <v>808</v>
      </c>
      <c r="C20" s="98"/>
      <c r="D20" s="98"/>
      <c r="E20" s="98"/>
      <c r="F20" s="98"/>
      <c r="G20" s="98"/>
      <c r="H20" s="98"/>
      <c r="I20" s="433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6" t="s">
        <v>809</v>
      </c>
      <c r="B21" s="90" t="s">
        <v>810</v>
      </c>
      <c r="C21" s="98"/>
      <c r="D21" s="98"/>
      <c r="E21" s="98"/>
      <c r="F21" s="98"/>
      <c r="G21" s="98"/>
      <c r="H21" s="98"/>
      <c r="I21" s="433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6" t="s">
        <v>811</v>
      </c>
      <c r="B22" s="90" t="s">
        <v>812</v>
      </c>
      <c r="C22" s="98"/>
      <c r="D22" s="98"/>
      <c r="E22" s="98"/>
      <c r="F22" s="439"/>
      <c r="G22" s="98"/>
      <c r="H22" s="98"/>
      <c r="I22" s="433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6" t="s">
        <v>813</v>
      </c>
      <c r="B23" s="90" t="s">
        <v>814</v>
      </c>
      <c r="C23" s="98"/>
      <c r="D23" s="98"/>
      <c r="E23" s="98"/>
      <c r="F23" s="98"/>
      <c r="G23" s="98"/>
      <c r="H23" s="98"/>
      <c r="I23" s="433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6" t="s">
        <v>815</v>
      </c>
      <c r="B24" s="90" t="s">
        <v>816</v>
      </c>
      <c r="C24" s="98"/>
      <c r="D24" s="98"/>
      <c r="E24" s="98"/>
      <c r="F24" s="98"/>
      <c r="G24" s="98"/>
      <c r="H24" s="98"/>
      <c r="I24" s="433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4" t="s">
        <v>817</v>
      </c>
      <c r="B25" s="95" t="s">
        <v>818</v>
      </c>
      <c r="C25" s="98"/>
      <c r="D25" s="98"/>
      <c r="E25" s="98"/>
      <c r="F25" s="98"/>
      <c r="G25" s="98"/>
      <c r="H25" s="98"/>
      <c r="I25" s="433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1" t="s">
        <v>583</v>
      </c>
      <c r="B26" s="92" t="s">
        <v>819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3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6" t="s">
        <v>820</v>
      </c>
      <c r="B28" s="196"/>
      <c r="C28" s="196"/>
      <c r="D28" s="421"/>
      <c r="E28" s="421"/>
      <c r="F28" s="421"/>
      <c r="G28" s="421"/>
      <c r="H28" s="421"/>
      <c r="I28" s="421"/>
    </row>
    <row r="29" spans="1:9" s="518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8" customFormat="1" ht="15" customHeight="1">
      <c r="A30" s="45" t="s">
        <v>927</v>
      </c>
      <c r="B30" s="656"/>
      <c r="C30" s="656"/>
      <c r="D30" s="456" t="s">
        <v>821</v>
      </c>
      <c r="E30" s="655"/>
      <c r="F30" s="655"/>
      <c r="G30" s="655"/>
      <c r="H30" s="419" t="s">
        <v>783</v>
      </c>
      <c r="I30" s="655"/>
      <c r="J30" s="655"/>
    </row>
    <row r="31" spans="1:9" s="518" customFormat="1" ht="12">
      <c r="A31" s="348"/>
      <c r="B31" s="387"/>
      <c r="C31" s="348"/>
      <c r="D31" s="520"/>
      <c r="E31" s="520"/>
      <c r="F31" s="520"/>
      <c r="G31" s="520"/>
      <c r="H31" s="520"/>
      <c r="I31" s="520"/>
    </row>
    <row r="32" spans="1:9" s="518" customFormat="1" ht="12">
      <c r="A32" s="348"/>
      <c r="B32" s="387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 ht="12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 ht="12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 ht="12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 ht="12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 ht="12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 ht="12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 ht="12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 ht="12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 ht="12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 ht="12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 ht="12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 ht="12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 ht="12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 ht="12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 ht="12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 ht="12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 ht="12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 ht="12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 ht="12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 ht="12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 ht="12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 ht="12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 ht="12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 ht="12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 ht="12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 ht="12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 ht="12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 ht="12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 ht="12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 ht="12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 ht="12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 ht="12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 ht="12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 ht="12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 ht="12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 ht="12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 ht="12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 ht="12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 ht="12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 ht="12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 ht="12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 ht="12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 ht="12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 ht="12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 ht="12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 ht="12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 ht="12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 ht="12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 ht="12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 ht="12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 ht="12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 ht="12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 ht="12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 ht="12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 ht="12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 ht="12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 ht="12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 ht="12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 ht="12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 ht="12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 ht="12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 ht="12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 ht="12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 ht="12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 ht="12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 ht="12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 ht="12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 ht="12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 ht="12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 ht="12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 ht="12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 ht="12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 ht="12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 ht="12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 ht="12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 ht="12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 ht="12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 ht="12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 ht="12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 ht="12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 ht="12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 ht="12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 ht="12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 ht="12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 ht="12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 ht="12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P154"/>
  <sheetViews>
    <sheetView view="pageBreakPreview" zoomScaleSheetLayoutView="100" zoomScalePageLayoutView="0" workbookViewId="0" topLeftCell="A127">
      <selection activeCell="A152" sqref="A152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5" t="s">
        <v>822</v>
      </c>
      <c r="B2" s="145"/>
      <c r="C2" s="145"/>
      <c r="D2" s="145"/>
      <c r="E2" s="145"/>
      <c r="F2" s="145"/>
    </row>
    <row r="3" spans="1:6" ht="12.75" customHeight="1">
      <c r="A3" s="145" t="s">
        <v>823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60" t="str">
        <f>'справка №1-БАЛАНС'!E3</f>
        <v>"Химимпорт" АД</v>
      </c>
      <c r="C5" s="660"/>
      <c r="D5" s="660"/>
      <c r="E5" s="567" t="s">
        <v>2</v>
      </c>
      <c r="F5" s="450">
        <f>'справка №1-БАЛАНС'!H3</f>
        <v>627519</v>
      </c>
    </row>
    <row r="6" spans="1:13" ht="15" customHeight="1">
      <c r="A6" s="27" t="s">
        <v>824</v>
      </c>
      <c r="B6" s="661">
        <f>'справка №1-БАЛАНС'!E5</f>
        <v>43190</v>
      </c>
      <c r="C6" s="661"/>
      <c r="D6" s="507"/>
      <c r="E6" s="566" t="s">
        <v>4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2" customFormat="1" ht="51">
      <c r="A8" s="31" t="s">
        <v>825</v>
      </c>
      <c r="B8" s="32" t="s">
        <v>8</v>
      </c>
      <c r="C8" s="33" t="s">
        <v>826</v>
      </c>
      <c r="D8" s="33" t="s">
        <v>827</v>
      </c>
      <c r="E8" s="33" t="s">
        <v>828</v>
      </c>
      <c r="F8" s="33" t="s">
        <v>829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830</v>
      </c>
      <c r="B10" s="35"/>
      <c r="C10" s="428"/>
      <c r="D10" s="428"/>
      <c r="E10" s="428"/>
      <c r="F10" s="428"/>
    </row>
    <row r="11" spans="1:6" ht="18" customHeight="1">
      <c r="A11" s="36" t="s">
        <v>831</v>
      </c>
      <c r="B11" s="37"/>
      <c r="C11" s="428"/>
      <c r="D11" s="576"/>
      <c r="E11" s="428"/>
      <c r="F11" s="428"/>
    </row>
    <row r="12" spans="1:6" ht="14.25" customHeight="1">
      <c r="A12" s="36" t="s">
        <v>832</v>
      </c>
      <c r="B12" s="37"/>
      <c r="C12" s="440"/>
      <c r="D12" s="575"/>
      <c r="E12" s="440"/>
      <c r="F12" s="442">
        <f>C12-E12</f>
        <v>0</v>
      </c>
    </row>
    <row r="13" spans="1:6" ht="12.75">
      <c r="A13" s="36" t="s">
        <v>833</v>
      </c>
      <c r="B13" s="37"/>
      <c r="C13" s="440"/>
      <c r="D13" s="575"/>
      <c r="E13" s="440"/>
      <c r="F13" s="442">
        <f aca="true" t="shared" si="0" ref="F13:F26">C13-E13</f>
        <v>0</v>
      </c>
    </row>
    <row r="14" spans="1:6" ht="12.75">
      <c r="A14" s="36" t="s">
        <v>551</v>
      </c>
      <c r="B14" s="37"/>
      <c r="C14" s="440"/>
      <c r="D14" s="575"/>
      <c r="E14" s="440"/>
      <c r="F14" s="442">
        <f t="shared" si="0"/>
        <v>0</v>
      </c>
    </row>
    <row r="15" spans="1:6" ht="12.75">
      <c r="A15" s="36" t="s">
        <v>554</v>
      </c>
      <c r="B15" s="37"/>
      <c r="C15" s="440"/>
      <c r="D15" s="575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575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575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575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575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575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575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575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575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575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575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575"/>
      <c r="E26" s="440"/>
      <c r="F26" s="442">
        <f t="shared" si="0"/>
        <v>0</v>
      </c>
    </row>
    <row r="27" spans="1:16" ht="11.25" customHeight="1">
      <c r="A27" s="38" t="s">
        <v>566</v>
      </c>
      <c r="B27" s="39" t="s">
        <v>834</v>
      </c>
      <c r="C27" s="428">
        <f>SUM(C12:C26)</f>
        <v>0</v>
      </c>
      <c r="D27" s="576"/>
      <c r="E27" s="428">
        <f>SUM(E12:E26)</f>
        <v>0</v>
      </c>
      <c r="F27" s="441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835</v>
      </c>
      <c r="B28" s="40"/>
      <c r="C28" s="428"/>
      <c r="D28" s="576"/>
      <c r="E28" s="428"/>
      <c r="F28" s="441"/>
    </row>
    <row r="29" spans="1:6" ht="12.75">
      <c r="A29" s="36" t="s">
        <v>866</v>
      </c>
      <c r="B29" s="40"/>
      <c r="C29" s="440">
        <v>1444</v>
      </c>
      <c r="D29" s="575" t="s">
        <v>867</v>
      </c>
      <c r="E29" s="440"/>
      <c r="F29" s="442">
        <f>C29-E29</f>
        <v>1444</v>
      </c>
    </row>
    <row r="30" spans="1:6" ht="12.75">
      <c r="A30" s="36" t="s">
        <v>923</v>
      </c>
      <c r="B30" s="40"/>
      <c r="C30" s="440">
        <v>5007</v>
      </c>
      <c r="D30" s="577">
        <v>0.5</v>
      </c>
      <c r="E30" s="440"/>
      <c r="F30" s="442">
        <f aca="true" t="shared" si="1" ref="F30:F43">C30-E30</f>
        <v>5007</v>
      </c>
    </row>
    <row r="31" spans="1:6" ht="12.75">
      <c r="A31" s="36" t="s">
        <v>551</v>
      </c>
      <c r="B31" s="40"/>
      <c r="C31" s="440"/>
      <c r="D31" s="575"/>
      <c r="E31" s="440"/>
      <c r="F31" s="442">
        <f t="shared" si="1"/>
        <v>0</v>
      </c>
    </row>
    <row r="32" spans="1:6" ht="12.75">
      <c r="A32" s="36" t="s">
        <v>554</v>
      </c>
      <c r="B32" s="40"/>
      <c r="C32" s="440"/>
      <c r="D32" s="575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575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575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575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575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575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575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575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575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575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575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575"/>
      <c r="E43" s="440"/>
      <c r="F43" s="442">
        <f t="shared" si="1"/>
        <v>0</v>
      </c>
    </row>
    <row r="44" spans="1:16" ht="15" customHeight="1">
      <c r="A44" s="38" t="s">
        <v>583</v>
      </c>
      <c r="B44" s="39" t="s">
        <v>836</v>
      </c>
      <c r="C44" s="428">
        <f>SUM(C29:C43)</f>
        <v>6451</v>
      </c>
      <c r="D44" s="576"/>
      <c r="E44" s="428">
        <f>SUM(E29:E43)</f>
        <v>0</v>
      </c>
      <c r="F44" s="441">
        <f>SUM(F29:F43)</f>
        <v>6451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837</v>
      </c>
      <c r="B45" s="40"/>
      <c r="C45" s="428"/>
      <c r="D45" s="576"/>
      <c r="E45" s="428"/>
      <c r="F45" s="441"/>
    </row>
    <row r="46" spans="1:6" ht="12.75">
      <c r="A46" s="36" t="s">
        <v>877</v>
      </c>
      <c r="B46" s="40"/>
      <c r="C46" s="440">
        <v>8649</v>
      </c>
      <c r="D46" s="577" t="s">
        <v>870</v>
      </c>
      <c r="E46" s="440"/>
      <c r="F46" s="442">
        <f>C46-E46</f>
        <v>8649</v>
      </c>
    </row>
    <row r="47" spans="1:6" ht="12.75">
      <c r="A47" s="36" t="s">
        <v>878</v>
      </c>
      <c r="B47" s="40"/>
      <c r="C47" s="440">
        <v>3564</v>
      </c>
      <c r="D47" s="577" t="s">
        <v>871</v>
      </c>
      <c r="E47" s="440"/>
      <c r="F47" s="442">
        <f aca="true" t="shared" si="2" ref="F47:F60">C47-E47</f>
        <v>3564</v>
      </c>
    </row>
    <row r="48" spans="1:6" ht="12.75">
      <c r="A48" s="36" t="s">
        <v>879</v>
      </c>
      <c r="B48" s="40"/>
      <c r="C48" s="440">
        <v>3379</v>
      </c>
      <c r="D48" s="577" t="s">
        <v>872</v>
      </c>
      <c r="E48" s="440"/>
      <c r="F48" s="442">
        <f t="shared" si="2"/>
        <v>3379</v>
      </c>
    </row>
    <row r="49" spans="1:6" ht="12.75">
      <c r="A49" s="36" t="s">
        <v>880</v>
      </c>
      <c r="B49" s="40"/>
      <c r="C49" s="440">
        <v>5525</v>
      </c>
      <c r="D49" s="577" t="s">
        <v>873</v>
      </c>
      <c r="E49" s="440"/>
      <c r="F49" s="442">
        <f t="shared" si="2"/>
        <v>5525</v>
      </c>
    </row>
    <row r="50" spans="1:6" ht="12.75">
      <c r="A50" s="36" t="s">
        <v>881</v>
      </c>
      <c r="B50" s="37"/>
      <c r="C50" s="440">
        <v>5409</v>
      </c>
      <c r="D50" s="577" t="s">
        <v>874</v>
      </c>
      <c r="E50" s="440"/>
      <c r="F50" s="442">
        <f t="shared" si="2"/>
        <v>5409</v>
      </c>
    </row>
    <row r="51" spans="1:6" ht="12.75">
      <c r="A51" s="36" t="s">
        <v>882</v>
      </c>
      <c r="B51" s="37"/>
      <c r="C51" s="440">
        <v>755</v>
      </c>
      <c r="D51" s="577" t="s">
        <v>875</v>
      </c>
      <c r="E51" s="440"/>
      <c r="F51" s="442">
        <f t="shared" si="2"/>
        <v>755</v>
      </c>
    </row>
    <row r="52" spans="1:6" ht="12.75">
      <c r="A52" s="36" t="s">
        <v>883</v>
      </c>
      <c r="B52" s="37"/>
      <c r="C52" s="440">
        <v>560</v>
      </c>
      <c r="D52" s="577" t="s">
        <v>876</v>
      </c>
      <c r="E52" s="440"/>
      <c r="F52" s="442">
        <f t="shared" si="2"/>
        <v>560</v>
      </c>
    </row>
    <row r="53" spans="1:6" ht="12.75">
      <c r="A53" s="36"/>
      <c r="B53" s="37"/>
      <c r="C53" s="440"/>
      <c r="D53" s="577"/>
      <c r="E53" s="440"/>
      <c r="F53" s="442">
        <f t="shared" si="2"/>
        <v>0</v>
      </c>
    </row>
    <row r="54" spans="1:6" ht="12.75">
      <c r="A54" s="36"/>
      <c r="B54" s="37"/>
      <c r="C54" s="440"/>
      <c r="D54" s="575"/>
      <c r="E54" s="440"/>
      <c r="F54" s="442">
        <f t="shared" si="2"/>
        <v>0</v>
      </c>
    </row>
    <row r="55" spans="1:6" ht="12.75">
      <c r="A55" s="36"/>
      <c r="B55" s="37"/>
      <c r="C55" s="440"/>
      <c r="D55" s="575"/>
      <c r="E55" s="440"/>
      <c r="F55" s="442">
        <f t="shared" si="2"/>
        <v>0</v>
      </c>
    </row>
    <row r="56" spans="1:6" ht="12.75">
      <c r="A56" s="36"/>
      <c r="B56" s="37"/>
      <c r="C56" s="440"/>
      <c r="D56" s="575"/>
      <c r="E56" s="440"/>
      <c r="F56" s="442">
        <f t="shared" si="2"/>
        <v>0</v>
      </c>
    </row>
    <row r="57" spans="1:6" ht="12.75">
      <c r="A57" s="36"/>
      <c r="B57" s="37"/>
      <c r="C57" s="440"/>
      <c r="D57" s="575"/>
      <c r="E57" s="440"/>
      <c r="F57" s="442">
        <f t="shared" si="2"/>
        <v>0</v>
      </c>
    </row>
    <row r="58" spans="1:6" ht="12.75">
      <c r="A58" s="36"/>
      <c r="B58" s="37"/>
      <c r="C58" s="440"/>
      <c r="D58" s="575"/>
      <c r="E58" s="440"/>
      <c r="F58" s="442">
        <f t="shared" si="2"/>
        <v>0</v>
      </c>
    </row>
    <row r="59" spans="1:6" ht="12" customHeight="1">
      <c r="A59" s="36"/>
      <c r="B59" s="37"/>
      <c r="C59" s="440"/>
      <c r="D59" s="575"/>
      <c r="E59" s="440"/>
      <c r="F59" s="442">
        <f t="shared" si="2"/>
        <v>0</v>
      </c>
    </row>
    <row r="60" spans="1:6" ht="12.75">
      <c r="A60" s="36"/>
      <c r="B60" s="37"/>
      <c r="C60" s="440"/>
      <c r="D60" s="575"/>
      <c r="E60" s="440"/>
      <c r="F60" s="442">
        <f t="shared" si="2"/>
        <v>0</v>
      </c>
    </row>
    <row r="61" spans="1:16" ht="12" customHeight="1">
      <c r="A61" s="38" t="s">
        <v>602</v>
      </c>
      <c r="B61" s="39" t="s">
        <v>838</v>
      </c>
      <c r="C61" s="428">
        <f>SUM(C46:C60)</f>
        <v>27841</v>
      </c>
      <c r="D61" s="576"/>
      <c r="E61" s="428">
        <f>SUM(E46:E60)</f>
        <v>0</v>
      </c>
      <c r="F61" s="441">
        <f>SUM(F46:F60)</f>
        <v>27841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6" t="s">
        <v>839</v>
      </c>
      <c r="B62" s="40"/>
      <c r="C62" s="428"/>
      <c r="D62" s="576"/>
      <c r="E62" s="428"/>
      <c r="F62" s="441"/>
    </row>
    <row r="63" spans="1:6" ht="12.75">
      <c r="A63" s="36" t="s">
        <v>545</v>
      </c>
      <c r="B63" s="40"/>
      <c r="C63" s="440"/>
      <c r="D63" s="575"/>
      <c r="E63" s="440"/>
      <c r="F63" s="442">
        <f>C63-E63</f>
        <v>0</v>
      </c>
    </row>
    <row r="64" spans="1:6" ht="12.75">
      <c r="A64" s="36" t="s">
        <v>548</v>
      </c>
      <c r="B64" s="40"/>
      <c r="C64" s="440"/>
      <c r="D64" s="575"/>
      <c r="E64" s="440"/>
      <c r="F64" s="442">
        <f aca="true" t="shared" si="3" ref="F64:F77">C64-E64</f>
        <v>0</v>
      </c>
    </row>
    <row r="65" spans="1:6" ht="12.75">
      <c r="A65" s="36" t="s">
        <v>551</v>
      </c>
      <c r="B65" s="40"/>
      <c r="C65" s="440"/>
      <c r="D65" s="575"/>
      <c r="E65" s="440"/>
      <c r="F65" s="442">
        <f t="shared" si="3"/>
        <v>0</v>
      </c>
    </row>
    <row r="66" spans="1:6" ht="12.75">
      <c r="A66" s="36" t="s">
        <v>554</v>
      </c>
      <c r="B66" s="40"/>
      <c r="C66" s="440"/>
      <c r="D66" s="575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575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575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575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575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575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575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575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575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575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575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575"/>
      <c r="E77" s="440"/>
      <c r="F77" s="442">
        <f t="shared" si="3"/>
        <v>0</v>
      </c>
    </row>
    <row r="78" spans="1:16" ht="14.25" customHeight="1">
      <c r="A78" s="38" t="s">
        <v>840</v>
      </c>
      <c r="B78" s="39" t="s">
        <v>841</v>
      </c>
      <c r="C78" s="428">
        <f>SUM(C63:C77)</f>
        <v>0</v>
      </c>
      <c r="D78" s="576"/>
      <c r="E78" s="428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842</v>
      </c>
      <c r="B79" s="39" t="s">
        <v>843</v>
      </c>
      <c r="C79" s="428">
        <f>C78+C61+C44+C27</f>
        <v>34292</v>
      </c>
      <c r="D79" s="576"/>
      <c r="E79" s="428">
        <f>E78+E61+E44+E27</f>
        <v>0</v>
      </c>
      <c r="F79" s="441">
        <f>F78+F61+F44+F27</f>
        <v>34292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4" t="s">
        <v>844</v>
      </c>
      <c r="B80" s="39"/>
      <c r="C80" s="428"/>
      <c r="D80" s="576"/>
      <c r="E80" s="428"/>
      <c r="F80" s="441"/>
    </row>
    <row r="81" spans="1:6" ht="14.25" customHeight="1">
      <c r="A81" s="36" t="s">
        <v>831</v>
      </c>
      <c r="B81" s="40"/>
      <c r="C81" s="428"/>
      <c r="D81" s="576"/>
      <c r="E81" s="428"/>
      <c r="F81" s="441"/>
    </row>
    <row r="82" spans="1:6" ht="12.75">
      <c r="A82" s="36" t="s">
        <v>832</v>
      </c>
      <c r="B82" s="40"/>
      <c r="C82" s="440"/>
      <c r="D82" s="575"/>
      <c r="E82" s="440"/>
      <c r="F82" s="442">
        <f>C82-E82</f>
        <v>0</v>
      </c>
    </row>
    <row r="83" spans="1:6" ht="12.75">
      <c r="A83" s="36" t="s">
        <v>833</v>
      </c>
      <c r="B83" s="40"/>
      <c r="C83" s="440"/>
      <c r="D83" s="575"/>
      <c r="E83" s="440"/>
      <c r="F83" s="442">
        <f aca="true" t="shared" si="4" ref="F83:F96">C83-E83</f>
        <v>0</v>
      </c>
    </row>
    <row r="84" spans="1:6" ht="12.75">
      <c r="A84" s="36" t="s">
        <v>551</v>
      </c>
      <c r="B84" s="40"/>
      <c r="C84" s="440"/>
      <c r="D84" s="575"/>
      <c r="E84" s="440"/>
      <c r="F84" s="442">
        <f t="shared" si="4"/>
        <v>0</v>
      </c>
    </row>
    <row r="85" spans="1:6" ht="12.75">
      <c r="A85" s="36" t="s">
        <v>554</v>
      </c>
      <c r="B85" s="40"/>
      <c r="C85" s="440"/>
      <c r="D85" s="575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575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575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575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575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575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575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575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575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575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575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575"/>
      <c r="E96" s="440"/>
      <c r="F96" s="442">
        <f t="shared" si="4"/>
        <v>0</v>
      </c>
    </row>
    <row r="97" spans="1:16" ht="15" customHeight="1">
      <c r="A97" s="38" t="s">
        <v>566</v>
      </c>
      <c r="B97" s="39" t="s">
        <v>845</v>
      </c>
      <c r="C97" s="428">
        <f>SUM(C82:C96)</f>
        <v>0</v>
      </c>
      <c r="D97" s="576"/>
      <c r="E97" s="428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6" t="s">
        <v>835</v>
      </c>
      <c r="B98" s="40"/>
      <c r="C98" s="428"/>
      <c r="D98" s="576"/>
      <c r="E98" s="428"/>
      <c r="F98" s="441"/>
    </row>
    <row r="99" spans="1:6" ht="12.75">
      <c r="A99" s="36">
        <v>1</v>
      </c>
      <c r="B99" s="40"/>
      <c r="C99" s="440"/>
      <c r="D99" s="575"/>
      <c r="E99" s="440"/>
      <c r="F99" s="442">
        <f>C99-E99</f>
        <v>0</v>
      </c>
    </row>
    <row r="100" spans="1:6" ht="12.75">
      <c r="A100" s="36">
        <v>2</v>
      </c>
      <c r="B100" s="40"/>
      <c r="C100" s="440"/>
      <c r="D100" s="575"/>
      <c r="E100" s="440"/>
      <c r="F100" s="442">
        <f aca="true" t="shared" si="5" ref="F100:F113">C100-E100</f>
        <v>0</v>
      </c>
    </row>
    <row r="101" spans="1:6" ht="12.75">
      <c r="A101" s="36" t="s">
        <v>551</v>
      </c>
      <c r="B101" s="40"/>
      <c r="C101" s="440"/>
      <c r="D101" s="575"/>
      <c r="E101" s="440"/>
      <c r="F101" s="442">
        <f t="shared" si="5"/>
        <v>0</v>
      </c>
    </row>
    <row r="102" spans="1:6" ht="12.75">
      <c r="A102" s="36" t="s">
        <v>554</v>
      </c>
      <c r="B102" s="40"/>
      <c r="C102" s="440"/>
      <c r="D102" s="575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575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575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575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575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575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575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575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575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575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575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575"/>
      <c r="E113" s="440"/>
      <c r="F113" s="442">
        <f t="shared" si="5"/>
        <v>0</v>
      </c>
    </row>
    <row r="114" spans="1:16" ht="11.25" customHeight="1">
      <c r="A114" s="38" t="s">
        <v>583</v>
      </c>
      <c r="B114" s="39" t="s">
        <v>846</v>
      </c>
      <c r="C114" s="428">
        <f>SUM(C99:C113)</f>
        <v>0</v>
      </c>
      <c r="D114" s="576"/>
      <c r="E114" s="428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6" t="s">
        <v>837</v>
      </c>
      <c r="B115" s="40"/>
      <c r="C115" s="428"/>
      <c r="D115" s="576"/>
      <c r="E115" s="428"/>
      <c r="F115" s="441"/>
    </row>
    <row r="116" spans="1:6" ht="12.75">
      <c r="A116" s="36"/>
      <c r="B116" s="40"/>
      <c r="C116" s="440"/>
      <c r="D116" s="575"/>
      <c r="E116" s="440"/>
      <c r="F116" s="442">
        <f>C116-E116</f>
        <v>0</v>
      </c>
    </row>
    <row r="117" spans="1:6" ht="12.75">
      <c r="A117" s="36" t="s">
        <v>548</v>
      </c>
      <c r="B117" s="40"/>
      <c r="C117" s="440"/>
      <c r="D117" s="575"/>
      <c r="E117" s="440"/>
      <c r="F117" s="442">
        <f aca="true" t="shared" si="6" ref="F117:F130">C117-E117</f>
        <v>0</v>
      </c>
    </row>
    <row r="118" spans="1:6" ht="12.75">
      <c r="A118" s="36" t="s">
        <v>551</v>
      </c>
      <c r="B118" s="40"/>
      <c r="C118" s="440"/>
      <c r="D118" s="575"/>
      <c r="E118" s="440"/>
      <c r="F118" s="442">
        <f t="shared" si="6"/>
        <v>0</v>
      </c>
    </row>
    <row r="119" spans="1:6" ht="12.75">
      <c r="A119" s="36" t="s">
        <v>554</v>
      </c>
      <c r="B119" s="40"/>
      <c r="C119" s="440"/>
      <c r="D119" s="575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575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575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575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575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575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575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575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575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575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575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575"/>
      <c r="E130" s="440"/>
      <c r="F130" s="442">
        <f t="shared" si="6"/>
        <v>0</v>
      </c>
    </row>
    <row r="131" spans="1:16" ht="15.75" customHeight="1">
      <c r="A131" s="38" t="s">
        <v>602</v>
      </c>
      <c r="B131" s="39" t="s">
        <v>847</v>
      </c>
      <c r="C131" s="428">
        <f>SUM(C116:C130)</f>
        <v>0</v>
      </c>
      <c r="D131" s="576"/>
      <c r="E131" s="428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6" t="s">
        <v>839</v>
      </c>
      <c r="B132" s="40"/>
      <c r="C132" s="428"/>
      <c r="D132" s="576"/>
      <c r="E132" s="428"/>
      <c r="F132" s="441"/>
    </row>
    <row r="133" spans="1:6" ht="12.75">
      <c r="A133" s="36" t="s">
        <v>545</v>
      </c>
      <c r="B133" s="40"/>
      <c r="C133" s="440"/>
      <c r="D133" s="575"/>
      <c r="E133" s="440"/>
      <c r="F133" s="442">
        <f>C133-E133</f>
        <v>0</v>
      </c>
    </row>
    <row r="134" spans="1:6" ht="12.75">
      <c r="A134" s="36" t="s">
        <v>548</v>
      </c>
      <c r="B134" s="40"/>
      <c r="C134" s="440"/>
      <c r="D134" s="575"/>
      <c r="E134" s="440"/>
      <c r="F134" s="442">
        <f aca="true" t="shared" si="7" ref="F134:F147">C134-E134</f>
        <v>0</v>
      </c>
    </row>
    <row r="135" spans="1:6" ht="12.75">
      <c r="A135" s="36" t="s">
        <v>551</v>
      </c>
      <c r="B135" s="40"/>
      <c r="C135" s="440"/>
      <c r="D135" s="575"/>
      <c r="E135" s="440"/>
      <c r="F135" s="442">
        <f t="shared" si="7"/>
        <v>0</v>
      </c>
    </row>
    <row r="136" spans="1:6" ht="12.75">
      <c r="A136" s="36" t="s">
        <v>554</v>
      </c>
      <c r="B136" s="40"/>
      <c r="C136" s="440"/>
      <c r="D136" s="575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575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575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575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575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575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575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575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575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575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575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575"/>
      <c r="E147" s="440"/>
      <c r="F147" s="442">
        <f t="shared" si="7"/>
        <v>0</v>
      </c>
    </row>
    <row r="148" spans="1:16" ht="17.25" customHeight="1">
      <c r="A148" s="38" t="s">
        <v>840</v>
      </c>
      <c r="B148" s="39" t="s">
        <v>848</v>
      </c>
      <c r="C148" s="428">
        <f>SUM(C133:C147)</f>
        <v>0</v>
      </c>
      <c r="D148" s="576"/>
      <c r="E148" s="428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849</v>
      </c>
      <c r="B149" s="39" t="s">
        <v>850</v>
      </c>
      <c r="C149" s="428">
        <f>C148+C131+C114+C97</f>
        <v>0</v>
      </c>
      <c r="D149" s="576"/>
      <c r="E149" s="428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4.25">
      <c r="A151" s="45" t="s">
        <v>928</v>
      </c>
      <c r="B151" s="451"/>
      <c r="C151" s="662" t="s">
        <v>851</v>
      </c>
      <c r="D151" s="662"/>
      <c r="E151" s="662"/>
      <c r="F151" s="662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62" t="s">
        <v>856</v>
      </c>
      <c r="D153" s="662"/>
      <c r="E153" s="662"/>
      <c r="F153" s="662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133:F147 C63:F77 C82:F96 C99:F113 C116:F130 C46:F6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4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m.stoyanova</cp:lastModifiedBy>
  <cp:lastPrinted>2018-05-30T09:59:15Z</cp:lastPrinted>
  <dcterms:created xsi:type="dcterms:W3CDTF">2000-06-29T12:02:40Z</dcterms:created>
  <dcterms:modified xsi:type="dcterms:W3CDTF">2018-05-30T12:42:23Z</dcterms:modified>
  <cp:category/>
  <cp:version/>
  <cp:contentType/>
  <cp:contentStatus/>
</cp:coreProperties>
</file>